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dia.creed24\Desktop\OGM Docments\"/>
    </mc:Choice>
  </mc:AlternateContent>
  <xr:revisionPtr revIDLastSave="0" documentId="8_{15FF6582-7CC7-45FA-ABB5-47A751BD06E9}" xr6:coauthVersionLast="47" xr6:coauthVersionMax="47" xr10:uidLastSave="{00000000-0000-0000-0000-000000000000}"/>
  <bookViews>
    <workbookView xWindow="-120" yWindow="-120" windowWidth="29040" windowHeight="15840" tabRatio="914" firstSheet="13" activeTab="8" xr2:uid="{C02B56DF-30DF-A14F-92E4-AE248B7435CF}"/>
  </bookViews>
  <sheets>
    <sheet name="PL" sheetId="1" r:id="rId1"/>
    <sheet name="INV" sheetId="2" r:id="rId2"/>
    <sheet name="CS PROP" sheetId="3" r:id="rId3"/>
    <sheet name="CAT PROP" sheetId="4" r:id="rId4"/>
    <sheet name="TAV" sheetId="6" r:id="rId5"/>
    <sheet name="CAT OUT" sheetId="7" r:id="rId6"/>
    <sheet name="PRES" sheetId="8" r:id="rId7"/>
    <sheet name="GC" sheetId="9" r:id="rId8"/>
    <sheet name="PEL" sheetId="10" r:id="rId9"/>
    <sheet name="ENV" sheetId="11" r:id="rId10"/>
    <sheet name="PSA" sheetId="13" r:id="rId11"/>
    <sheet name="ISS" sheetId="12" r:id="rId12"/>
    <sheet name="ETHNO" sheetId="34" r:id="rId13"/>
    <sheet name="PRIDE" sheetId="14" r:id="rId14"/>
    <sheet name="WOMENS" sheetId="15" r:id="rId15"/>
    <sheet name="MASA" sheetId="16" r:id="rId16"/>
    <sheet name="WASAC" sheetId="17" r:id="rId17"/>
    <sheet name="ALBANY" sheetId="18" r:id="rId18"/>
    <sheet name="WELLBEING" sheetId="19" r:id="rId19"/>
    <sheet name="RSD" sheetId="20" r:id="rId20"/>
    <sheet name="ACCESS" sheetId="21" r:id="rId21"/>
    <sheet name="PAC" sheetId="22" r:id="rId22"/>
    <sheet name="SOC" sheetId="23" r:id="rId23"/>
    <sheet name="EDU" sheetId="24" r:id="rId24"/>
    <sheet name="SPORTS" sheetId="25" r:id="rId25"/>
    <sheet name="STU INNOV" sheetId="35" r:id="rId26"/>
    <sheet name="SA" sheetId="26" r:id="rId27"/>
    <sheet name="EVENTS" sheetId="27" r:id="rId28"/>
    <sheet name="GSC" sheetId="5" r:id="rId29"/>
    <sheet name="MKTG" sheetId="33" r:id="rId30"/>
    <sheet name="CREATIVE" sheetId="28" r:id="rId31"/>
    <sheet name="VOL" sheetId="29" r:id="rId32"/>
    <sheet name="ADMIN" sheetId="30" r:id="rId33"/>
    <sheet name="FINANCE" sheetId="31" r:id="rId34"/>
    <sheet name="IT" sheetId="32" r:id="rId35"/>
  </sheets>
  <externalReferences>
    <externalReference r:id="rId36"/>
    <externalReference r:id="rId37"/>
  </externalReferences>
  <definedNames>
    <definedName name="_xlnm.Print_Area" localSheetId="5">'CAT OUT'!$A$1:$L$17</definedName>
    <definedName name="_xlnm.Print_Area" localSheetId="8">PEL!$A$1:$N$30</definedName>
    <definedName name="_xlnm.Print_Area" localSheetId="0">PL!$C$1:$N$71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1" l="1"/>
  <c r="C23" i="21"/>
  <c r="D23" i="21"/>
  <c r="E23" i="21"/>
  <c r="F23" i="21"/>
  <c r="G23" i="21"/>
  <c r="H23" i="21"/>
  <c r="I23" i="21"/>
  <c r="J23" i="21"/>
  <c r="K23" i="21"/>
  <c r="L23" i="21"/>
  <c r="M23" i="21"/>
  <c r="K34" i="7"/>
  <c r="L33" i="7"/>
  <c r="K33" i="7"/>
  <c r="J33" i="7"/>
  <c r="I33" i="7"/>
  <c r="H33" i="7"/>
  <c r="G33" i="7"/>
  <c r="L32" i="7"/>
  <c r="K32" i="7"/>
  <c r="J32" i="7"/>
  <c r="I32" i="7"/>
  <c r="H32" i="7"/>
  <c r="G32" i="7"/>
  <c r="F32" i="7"/>
  <c r="L31" i="7"/>
  <c r="L34" i="7" s="1"/>
  <c r="K31" i="7"/>
  <c r="J31" i="7"/>
  <c r="J34" i="7" s="1"/>
  <c r="I31" i="7"/>
  <c r="I34" i="7" s="1"/>
  <c r="H31" i="7"/>
  <c r="H34" i="7" s="1"/>
  <c r="F29" i="7"/>
  <c r="F28" i="7"/>
  <c r="G27" i="7"/>
  <c r="F27" i="7"/>
  <c r="F26" i="7"/>
  <c r="F33" i="7" s="1"/>
  <c r="G25" i="7"/>
  <c r="G31" i="7" s="1"/>
  <c r="G34" i="7" s="1"/>
  <c r="F24" i="7"/>
  <c r="F25" i="7" s="1"/>
  <c r="F23" i="7"/>
  <c r="F22" i="7"/>
  <c r="H18" i="7"/>
  <c r="H16" i="7"/>
  <c r="G16" i="7"/>
  <c r="G15" i="7"/>
  <c r="F15" i="7"/>
  <c r="F16" i="7" s="1"/>
  <c r="E15" i="7"/>
  <c r="Q13" i="7"/>
  <c r="Q18" i="7" s="1"/>
  <c r="O13" i="7"/>
  <c r="O18" i="7" s="1"/>
  <c r="N13" i="7"/>
  <c r="N18" i="7" s="1"/>
  <c r="L13" i="7"/>
  <c r="L18" i="7" s="1"/>
  <c r="I13" i="7"/>
  <c r="I16" i="7" s="1"/>
  <c r="H13" i="7"/>
  <c r="G12" i="7"/>
  <c r="F12" i="7" s="1"/>
  <c r="G11" i="7"/>
  <c r="F11" i="7"/>
  <c r="E11" i="7"/>
  <c r="G10" i="7"/>
  <c r="Q9" i="7"/>
  <c r="P9" i="7"/>
  <c r="P13" i="7" s="1"/>
  <c r="P18" i="7" s="1"/>
  <c r="O9" i="7"/>
  <c r="N9" i="7"/>
  <c r="M9" i="7"/>
  <c r="M13" i="7" s="1"/>
  <c r="M18" i="7" s="1"/>
  <c r="L9" i="7"/>
  <c r="K9" i="7"/>
  <c r="K13" i="7" s="1"/>
  <c r="K18" i="7" s="1"/>
  <c r="J9" i="7"/>
  <c r="J13" i="7" s="1"/>
  <c r="J18" i="7" s="1"/>
  <c r="G8" i="7"/>
  <c r="F8" i="7"/>
  <c r="E8" i="7"/>
  <c r="G7" i="7"/>
  <c r="F7" i="7" s="1"/>
  <c r="E7" i="7"/>
  <c r="G6" i="7"/>
  <c r="F6" i="7"/>
  <c r="E6" i="7"/>
  <c r="G5" i="7"/>
  <c r="F5" i="7" s="1"/>
  <c r="E5" i="7"/>
  <c r="G4" i="7"/>
  <c r="F4" i="7" s="1"/>
  <c r="E4" i="7"/>
  <c r="G3" i="7"/>
  <c r="F3" i="7" s="1"/>
  <c r="E3" i="7"/>
  <c r="E13" i="7" s="1"/>
  <c r="E18" i="7" s="1"/>
  <c r="F31" i="7" l="1"/>
  <c r="F34" i="7" s="1"/>
  <c r="D8" i="7"/>
  <c r="D6" i="7"/>
  <c r="D11" i="7"/>
  <c r="D7" i="7"/>
  <c r="D5" i="7"/>
  <c r="D3" i="7"/>
  <c r="F13" i="7"/>
  <c r="F18" i="7" s="1"/>
  <c r="F38" i="7" s="1"/>
  <c r="D15" i="7"/>
  <c r="D4" i="7"/>
  <c r="G13" i="7"/>
  <c r="G18" i="7" s="1"/>
  <c r="I18" i="7"/>
  <c r="J77" i="6"/>
  <c r="I77" i="6"/>
  <c r="B77" i="6"/>
  <c r="M76" i="6"/>
  <c r="L76" i="6"/>
  <c r="K76" i="6"/>
  <c r="J76" i="6"/>
  <c r="I76" i="6"/>
  <c r="H76" i="6"/>
  <c r="G76" i="6"/>
  <c r="F76" i="6"/>
  <c r="E76" i="6"/>
  <c r="D76" i="6"/>
  <c r="C76" i="6"/>
  <c r="B76" i="6"/>
  <c r="N75" i="6"/>
  <c r="N74" i="6"/>
  <c r="N76" i="6" s="1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N71" i="6"/>
  <c r="N69" i="6"/>
  <c r="N77" i="6" s="1"/>
  <c r="M69" i="6"/>
  <c r="M77" i="6" s="1"/>
  <c r="L69" i="6"/>
  <c r="L77" i="6" s="1"/>
  <c r="K69" i="6"/>
  <c r="K77" i="6" s="1"/>
  <c r="J69" i="6"/>
  <c r="I69" i="6"/>
  <c r="H69" i="6"/>
  <c r="H77" i="6" s="1"/>
  <c r="G69" i="6"/>
  <c r="G77" i="6" s="1"/>
  <c r="F69" i="6"/>
  <c r="F77" i="6" s="1"/>
  <c r="E69" i="6"/>
  <c r="E77" i="6" s="1"/>
  <c r="D69" i="6"/>
  <c r="D77" i="6" s="1"/>
  <c r="C69" i="6"/>
  <c r="C77" i="6" s="1"/>
  <c r="B69" i="6"/>
  <c r="N68" i="6"/>
  <c r="N67" i="6"/>
  <c r="N66" i="6"/>
  <c r="I62" i="6"/>
  <c r="M61" i="6"/>
  <c r="L61" i="6"/>
  <c r="L64" i="6" s="1"/>
  <c r="K61" i="6"/>
  <c r="K64" i="6" s="1"/>
  <c r="J61" i="6"/>
  <c r="J64" i="6" s="1"/>
  <c r="I61" i="6"/>
  <c r="I64" i="6" s="1"/>
  <c r="H61" i="6"/>
  <c r="G61" i="6"/>
  <c r="G64" i="6" s="1"/>
  <c r="F61" i="6"/>
  <c r="E61" i="6"/>
  <c r="D61" i="6"/>
  <c r="D64" i="6" s="1"/>
  <c r="C61" i="6"/>
  <c r="C64" i="6" s="1"/>
  <c r="B61" i="6"/>
  <c r="N60" i="6"/>
  <c r="N59" i="6"/>
  <c r="N58" i="6"/>
  <c r="N57" i="6"/>
  <c r="N56" i="6"/>
  <c r="N55" i="6"/>
  <c r="N61" i="6" s="1"/>
  <c r="M53" i="6"/>
  <c r="M62" i="6" s="1"/>
  <c r="L53" i="6"/>
  <c r="K53" i="6"/>
  <c r="K62" i="6" s="1"/>
  <c r="J53" i="6"/>
  <c r="J62" i="6" s="1"/>
  <c r="I53" i="6"/>
  <c r="H53" i="6"/>
  <c r="H62" i="6" s="1"/>
  <c r="G53" i="6"/>
  <c r="G62" i="6" s="1"/>
  <c r="F53" i="6"/>
  <c r="F62" i="6" s="1"/>
  <c r="E53" i="6"/>
  <c r="E62" i="6" s="1"/>
  <c r="D53" i="6"/>
  <c r="C53" i="6"/>
  <c r="C62" i="6" s="1"/>
  <c r="B53" i="6"/>
  <c r="B62" i="6" s="1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53" i="6" s="1"/>
  <c r="N62" i="6" s="1"/>
  <c r="N23" i="6"/>
  <c r="B19" i="6"/>
  <c r="I16" i="6"/>
  <c r="H16" i="6"/>
  <c r="G16" i="6"/>
  <c r="N15" i="6"/>
  <c r="M15" i="6"/>
  <c r="L15" i="6"/>
  <c r="K15" i="6"/>
  <c r="J15" i="6"/>
  <c r="I15" i="6"/>
  <c r="H15" i="6"/>
  <c r="G15" i="6"/>
  <c r="E15" i="6"/>
  <c r="D15" i="6"/>
  <c r="C15" i="6"/>
  <c r="B15" i="6"/>
  <c r="N14" i="6"/>
  <c r="M12" i="6"/>
  <c r="M16" i="6" s="1"/>
  <c r="L12" i="6"/>
  <c r="L16" i="6" s="1"/>
  <c r="K12" i="6"/>
  <c r="K16" i="6" s="1"/>
  <c r="J12" i="6"/>
  <c r="J16" i="6" s="1"/>
  <c r="I12" i="6"/>
  <c r="H12" i="6"/>
  <c r="G12" i="6"/>
  <c r="F12" i="6"/>
  <c r="F16" i="6" s="1"/>
  <c r="E12" i="6"/>
  <c r="E16" i="6" s="1"/>
  <c r="D12" i="6"/>
  <c r="D16" i="6" s="1"/>
  <c r="C12" i="6"/>
  <c r="C16" i="6" s="1"/>
  <c r="B12" i="6"/>
  <c r="B16" i="6" s="1"/>
  <c r="B20" i="6" s="1"/>
  <c r="N11" i="6"/>
  <c r="N12" i="6" s="1"/>
  <c r="N16" i="6" s="1"/>
  <c r="N10" i="6"/>
  <c r="D6" i="6"/>
  <c r="E6" i="6" s="1"/>
  <c r="F6" i="6" s="1"/>
  <c r="G6" i="6" s="1"/>
  <c r="H6" i="6" s="1"/>
  <c r="I6" i="6" s="1"/>
  <c r="J6" i="6" s="1"/>
  <c r="K6" i="6" s="1"/>
  <c r="L6" i="6" s="1"/>
  <c r="M6" i="6" s="1"/>
  <c r="C6" i="6"/>
  <c r="D18" i="7" l="1"/>
  <c r="D18" i="6"/>
  <c r="D19" i="6" s="1"/>
  <c r="D20" i="6"/>
  <c r="D63" i="6" s="1"/>
  <c r="D78" i="6" s="1"/>
  <c r="L18" i="6"/>
  <c r="L19" i="6" s="1"/>
  <c r="L20" i="6" s="1"/>
  <c r="L63" i="6" s="1"/>
  <c r="L78" i="6" s="1"/>
  <c r="H20" i="6"/>
  <c r="H63" i="6" s="1"/>
  <c r="H78" i="6" s="1"/>
  <c r="K18" i="6"/>
  <c r="K19" i="6" s="1"/>
  <c r="K20" i="6" s="1"/>
  <c r="K63" i="6" s="1"/>
  <c r="K78" i="6" s="1"/>
  <c r="M64" i="6"/>
  <c r="M18" i="6"/>
  <c r="M19" i="6" s="1"/>
  <c r="M20" i="6"/>
  <c r="M63" i="6" s="1"/>
  <c r="M78" i="6" s="1"/>
  <c r="I20" i="6"/>
  <c r="I63" i="6" s="1"/>
  <c r="I78" i="6" s="1"/>
  <c r="C18" i="6"/>
  <c r="E64" i="6"/>
  <c r="E18" i="6"/>
  <c r="E19" i="6" s="1"/>
  <c r="E20" i="6"/>
  <c r="E63" i="6" s="1"/>
  <c r="E78" i="6" s="1"/>
  <c r="F20" i="6"/>
  <c r="F63" i="6" s="1"/>
  <c r="F78" i="6" s="1"/>
  <c r="F64" i="6"/>
  <c r="F18" i="6"/>
  <c r="F19" i="6" s="1"/>
  <c r="O61" i="6"/>
  <c r="N64" i="6"/>
  <c r="B63" i="6"/>
  <c r="B78" i="6" s="1"/>
  <c r="J18" i="6"/>
  <c r="J19" i="6" s="1"/>
  <c r="J20" i="6" s="1"/>
  <c r="J63" i="6" s="1"/>
  <c r="J78" i="6" s="1"/>
  <c r="G18" i="6"/>
  <c r="G19" i="6" s="1"/>
  <c r="G20" i="6" s="1"/>
  <c r="G63" i="6" s="1"/>
  <c r="G78" i="6" s="1"/>
  <c r="H18" i="6"/>
  <c r="H19" i="6" s="1"/>
  <c r="I18" i="6"/>
  <c r="I19" i="6" s="1"/>
  <c r="H64" i="6"/>
  <c r="D62" i="6"/>
  <c r="L62" i="6"/>
  <c r="D20" i="1"/>
  <c r="C19" i="6" l="1"/>
  <c r="C20" i="6" s="1"/>
  <c r="C63" i="6" s="1"/>
  <c r="C78" i="6" s="1"/>
  <c r="N18" i="6"/>
  <c r="N19" i="6" s="1"/>
  <c r="O19" i="6" l="1"/>
  <c r="N20" i="6"/>
  <c r="N63" i="6" s="1"/>
  <c r="N78" i="6" s="1"/>
  <c r="N18" i="32" l="1"/>
  <c r="M11" i="31"/>
  <c r="L11" i="31"/>
  <c r="K11" i="31"/>
  <c r="J11" i="31"/>
  <c r="I11" i="31"/>
  <c r="H11" i="31"/>
  <c r="G11" i="31"/>
  <c r="F11" i="31"/>
  <c r="E11" i="31"/>
  <c r="D11" i="31"/>
  <c r="C11" i="31"/>
  <c r="B11" i="31"/>
  <c r="B32" i="30"/>
  <c r="M35" i="29"/>
  <c r="L35" i="29"/>
  <c r="K35" i="29"/>
  <c r="J35" i="29"/>
  <c r="I35" i="29"/>
  <c r="H35" i="29"/>
  <c r="G35" i="29"/>
  <c r="F35" i="29"/>
  <c r="E35" i="29"/>
  <c r="D35" i="29"/>
  <c r="C35" i="29"/>
  <c r="B35" i="29"/>
  <c r="N34" i="29"/>
  <c r="N33" i="29"/>
  <c r="N32" i="29"/>
  <c r="N31" i="29"/>
  <c r="N30" i="29"/>
  <c r="M28" i="29"/>
  <c r="M36" i="29" s="1"/>
  <c r="L28" i="29"/>
  <c r="L36" i="29" s="1"/>
  <c r="L37" i="29" s="1"/>
  <c r="L38" i="29" s="1"/>
  <c r="K28" i="29"/>
  <c r="K36" i="29" s="1"/>
  <c r="J28" i="29"/>
  <c r="J36" i="29" s="1"/>
  <c r="I28" i="29"/>
  <c r="I36" i="29" s="1"/>
  <c r="H28" i="29"/>
  <c r="H36" i="29" s="1"/>
  <c r="G28" i="29"/>
  <c r="G36" i="29" s="1"/>
  <c r="F28" i="29"/>
  <c r="E28" i="29"/>
  <c r="E36" i="29" s="1"/>
  <c r="D28" i="29"/>
  <c r="D36" i="29" s="1"/>
  <c r="D37" i="29" s="1"/>
  <c r="D38" i="29" s="1"/>
  <c r="C28" i="29"/>
  <c r="C36" i="29" s="1"/>
  <c r="C37" i="29" s="1"/>
  <c r="C38" i="29" s="1"/>
  <c r="B28" i="29"/>
  <c r="B36" i="29" s="1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8" i="29"/>
  <c r="M8" i="29"/>
  <c r="L8" i="29"/>
  <c r="K8" i="29"/>
  <c r="J8" i="29"/>
  <c r="I8" i="29"/>
  <c r="H8" i="29"/>
  <c r="G8" i="29"/>
  <c r="F8" i="29"/>
  <c r="E8" i="29"/>
  <c r="E37" i="29" s="1"/>
  <c r="E38" i="29" s="1"/>
  <c r="D8" i="29"/>
  <c r="C8" i="29"/>
  <c r="B8" i="29"/>
  <c r="K37" i="29" l="1"/>
  <c r="K38" i="29" s="1"/>
  <c r="G37" i="29"/>
  <c r="G38" i="29" s="1"/>
  <c r="N28" i="29"/>
  <c r="B37" i="29"/>
  <c r="B38" i="29" s="1"/>
  <c r="J37" i="29"/>
  <c r="J38" i="29" s="1"/>
  <c r="F36" i="29"/>
  <c r="F37" i="29" s="1"/>
  <c r="F38" i="29" s="1"/>
  <c r="N35" i="29"/>
  <c r="N36" i="29" s="1"/>
  <c r="N37" i="29" s="1"/>
  <c r="N38" i="29" s="1"/>
  <c r="H37" i="29"/>
  <c r="H38" i="29" s="1"/>
  <c r="I37" i="29"/>
  <c r="I38" i="29" s="1"/>
  <c r="M37" i="29"/>
  <c r="M38" i="29" s="1"/>
  <c r="L33" i="28" l="1"/>
  <c r="K33" i="28"/>
  <c r="I33" i="28"/>
  <c r="D33" i="28"/>
  <c r="C33" i="28"/>
  <c r="N31" i="28"/>
  <c r="N30" i="28"/>
  <c r="N29" i="28"/>
  <c r="N28" i="28"/>
  <c r="N27" i="28"/>
  <c r="M25" i="28"/>
  <c r="M33" i="28" s="1"/>
  <c r="L25" i="28"/>
  <c r="K25" i="28"/>
  <c r="J25" i="28"/>
  <c r="J33" i="28" s="1"/>
  <c r="I25" i="28"/>
  <c r="H25" i="28"/>
  <c r="H33" i="28" s="1"/>
  <c r="G25" i="28"/>
  <c r="G33" i="28" s="1"/>
  <c r="F25" i="28"/>
  <c r="F33" i="28" s="1"/>
  <c r="E25" i="28"/>
  <c r="E33" i="28" s="1"/>
  <c r="D25" i="28"/>
  <c r="C25" i="28"/>
  <c r="B25" i="28"/>
  <c r="B33" i="28" s="1"/>
  <c r="N24" i="28"/>
  <c r="N23" i="28"/>
  <c r="N22" i="28"/>
  <c r="N21" i="28"/>
  <c r="N20" i="28"/>
  <c r="N19" i="28"/>
  <c r="N18" i="28"/>
  <c r="N17" i="28"/>
  <c r="N16" i="28"/>
  <c r="N15" i="28"/>
  <c r="N25" i="28" s="1"/>
  <c r="J12" i="28"/>
  <c r="I12" i="28"/>
  <c r="I34" i="28" s="1"/>
  <c r="I35" i="28" s="1"/>
  <c r="G12" i="28"/>
  <c r="B12" i="28"/>
  <c r="N11" i="28"/>
  <c r="N12" i="28" s="1"/>
  <c r="M11" i="28"/>
  <c r="M12" i="28" s="1"/>
  <c r="L11" i="28"/>
  <c r="L12" i="28" s="1"/>
  <c r="L34" i="28" s="1"/>
  <c r="L35" i="28" s="1"/>
  <c r="K11" i="28"/>
  <c r="K12" i="28" s="1"/>
  <c r="K34" i="28" s="1"/>
  <c r="K35" i="28" s="1"/>
  <c r="J11" i="28"/>
  <c r="I11" i="28"/>
  <c r="H11" i="28"/>
  <c r="H12" i="28" s="1"/>
  <c r="G11" i="28"/>
  <c r="F11" i="28"/>
  <c r="F12" i="28" s="1"/>
  <c r="E11" i="28"/>
  <c r="E12" i="28" s="1"/>
  <c r="D11" i="28"/>
  <c r="D12" i="28" s="1"/>
  <c r="D34" i="28" s="1"/>
  <c r="D35" i="28" s="1"/>
  <c r="C11" i="28"/>
  <c r="C12" i="28" s="1"/>
  <c r="C34" i="28" s="1"/>
  <c r="C35" i="28" s="1"/>
  <c r="B11" i="28"/>
  <c r="N10" i="28"/>
  <c r="B34" i="28" l="1"/>
  <c r="B35" i="28" s="1"/>
  <c r="H34" i="28"/>
  <c r="H35" i="28" s="1"/>
  <c r="G34" i="28"/>
  <c r="G35" i="28" s="1"/>
  <c r="J34" i="28"/>
  <c r="J35" i="28" s="1"/>
  <c r="N32" i="28"/>
  <c r="N33" i="28"/>
  <c r="N34" i="28" s="1"/>
  <c r="N35" i="28" s="1"/>
  <c r="E34" i="28"/>
  <c r="E35" i="28" s="1"/>
  <c r="M34" i="28"/>
  <c r="M35" i="28" s="1"/>
  <c r="F34" i="28"/>
  <c r="F35" i="28" s="1"/>
  <c r="M17" i="5" l="1"/>
  <c r="M18" i="5" s="1"/>
  <c r="L17" i="5"/>
  <c r="L18" i="5" s="1"/>
  <c r="K17" i="5"/>
  <c r="K18" i="5" s="1"/>
  <c r="J17" i="5"/>
  <c r="I17" i="5"/>
  <c r="I18" i="5" s="1"/>
  <c r="H17" i="5"/>
  <c r="G17" i="5"/>
  <c r="G18" i="5" s="1"/>
  <c r="F17" i="5"/>
  <c r="E17" i="5"/>
  <c r="E18" i="5" s="1"/>
  <c r="D17" i="5"/>
  <c r="C17" i="5"/>
  <c r="C18" i="5" s="1"/>
  <c r="B17" i="5"/>
  <c r="F18" i="5"/>
  <c r="D18" i="5"/>
  <c r="N12" i="5"/>
  <c r="N11" i="5"/>
  <c r="L54" i="33"/>
  <c r="H54" i="33"/>
  <c r="D54" i="33"/>
  <c r="M53" i="33"/>
  <c r="M54" i="33" s="1"/>
  <c r="L53" i="33"/>
  <c r="K53" i="33"/>
  <c r="K54" i="33" s="1"/>
  <c r="J53" i="33"/>
  <c r="J54" i="33" s="1"/>
  <c r="I53" i="33"/>
  <c r="I54" i="33" s="1"/>
  <c r="H53" i="33"/>
  <c r="G53" i="33"/>
  <c r="G54" i="33" s="1"/>
  <c r="F53" i="33"/>
  <c r="F54" i="33" s="1"/>
  <c r="E53" i="33"/>
  <c r="E54" i="33" s="1"/>
  <c r="D53" i="33"/>
  <c r="C53" i="33"/>
  <c r="C54" i="33" s="1"/>
  <c r="B53" i="33"/>
  <c r="B54" i="33" s="1"/>
  <c r="N52" i="33"/>
  <c r="N51" i="33"/>
  <c r="N50" i="33"/>
  <c r="N53" i="33" s="1"/>
  <c r="N54" i="33" s="1"/>
  <c r="M45" i="33"/>
  <c r="L45" i="33"/>
  <c r="K45" i="33"/>
  <c r="J45" i="33"/>
  <c r="I45" i="33"/>
  <c r="H45" i="33"/>
  <c r="G45" i="33"/>
  <c r="F45" i="33"/>
  <c r="E45" i="33"/>
  <c r="D45" i="33"/>
  <c r="C45" i="33"/>
  <c r="B45" i="33"/>
  <c r="N44" i="33"/>
  <c r="N43" i="33"/>
  <c r="N42" i="33"/>
  <c r="N41" i="33"/>
  <c r="N40" i="33"/>
  <c r="N39" i="33"/>
  <c r="M37" i="33"/>
  <c r="M46" i="33" s="1"/>
  <c r="L37" i="33"/>
  <c r="L46" i="33" s="1"/>
  <c r="K37" i="33"/>
  <c r="K46" i="33" s="1"/>
  <c r="J37" i="33"/>
  <c r="J46" i="33" s="1"/>
  <c r="I37" i="33"/>
  <c r="I46" i="33" s="1"/>
  <c r="H37" i="33"/>
  <c r="G37" i="33"/>
  <c r="G46" i="33" s="1"/>
  <c r="F37" i="33"/>
  <c r="F46" i="33" s="1"/>
  <c r="E37" i="33"/>
  <c r="E46" i="33" s="1"/>
  <c r="D37" i="33"/>
  <c r="D46" i="33" s="1"/>
  <c r="C37" i="33"/>
  <c r="C46" i="33" s="1"/>
  <c r="B37" i="33"/>
  <c r="B46" i="33" s="1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N15" i="33"/>
  <c r="N16" i="33" s="1"/>
  <c r="K13" i="33"/>
  <c r="K17" i="33" s="1"/>
  <c r="K47" i="33" s="1"/>
  <c r="K55" i="33" s="1"/>
  <c r="H13" i="33"/>
  <c r="H17" i="33" s="1"/>
  <c r="G13" i="33"/>
  <c r="G17" i="33" s="1"/>
  <c r="C13" i="33"/>
  <c r="C17" i="33" s="1"/>
  <c r="M12" i="33"/>
  <c r="M13" i="33" s="1"/>
  <c r="M17" i="33" s="1"/>
  <c r="M47" i="33" s="1"/>
  <c r="L12" i="33"/>
  <c r="L13" i="33" s="1"/>
  <c r="L17" i="33" s="1"/>
  <c r="K12" i="33"/>
  <c r="J12" i="33"/>
  <c r="J13" i="33" s="1"/>
  <c r="J17" i="33" s="1"/>
  <c r="I12" i="33"/>
  <c r="I13" i="33" s="1"/>
  <c r="I17" i="33" s="1"/>
  <c r="H12" i="33"/>
  <c r="G12" i="33"/>
  <c r="F12" i="33"/>
  <c r="F13" i="33" s="1"/>
  <c r="F17" i="33" s="1"/>
  <c r="E12" i="33"/>
  <c r="E13" i="33" s="1"/>
  <c r="E17" i="33" s="1"/>
  <c r="E47" i="33" s="1"/>
  <c r="D12" i="33"/>
  <c r="D13" i="33" s="1"/>
  <c r="D17" i="33" s="1"/>
  <c r="C12" i="33"/>
  <c r="B12" i="33"/>
  <c r="B13" i="33" s="1"/>
  <c r="B17" i="33" s="1"/>
  <c r="N11" i="33"/>
  <c r="N10" i="33"/>
  <c r="N12" i="33" s="1"/>
  <c r="N13" i="33" s="1"/>
  <c r="N17" i="33" s="1"/>
  <c r="M54" i="5"/>
  <c r="M55" i="5" s="1"/>
  <c r="L54" i="5"/>
  <c r="L55" i="5" s="1"/>
  <c r="K54" i="5"/>
  <c r="K55" i="5" s="1"/>
  <c r="J54" i="5"/>
  <c r="J55" i="5" s="1"/>
  <c r="I54" i="5"/>
  <c r="I55" i="5" s="1"/>
  <c r="H54" i="5"/>
  <c r="H55" i="5" s="1"/>
  <c r="G54" i="5"/>
  <c r="G55" i="5" s="1"/>
  <c r="F54" i="5"/>
  <c r="F55" i="5" s="1"/>
  <c r="E54" i="5"/>
  <c r="E55" i="5" s="1"/>
  <c r="D54" i="5"/>
  <c r="D55" i="5" s="1"/>
  <c r="C54" i="5"/>
  <c r="C55" i="5" s="1"/>
  <c r="B54" i="5"/>
  <c r="B55" i="5" s="1"/>
  <c r="N53" i="5"/>
  <c r="N52" i="5"/>
  <c r="N51" i="5"/>
  <c r="M46" i="5"/>
  <c r="L46" i="5"/>
  <c r="K46" i="5"/>
  <c r="J46" i="5"/>
  <c r="I46" i="5"/>
  <c r="H46" i="5"/>
  <c r="G46" i="5"/>
  <c r="F46" i="5"/>
  <c r="E46" i="5"/>
  <c r="D46" i="5"/>
  <c r="C46" i="5"/>
  <c r="B46" i="5"/>
  <c r="N45" i="5"/>
  <c r="N44" i="5"/>
  <c r="N43" i="5"/>
  <c r="N42" i="5"/>
  <c r="N41" i="5"/>
  <c r="M39" i="5"/>
  <c r="L39" i="5"/>
  <c r="K39" i="5"/>
  <c r="K47" i="5" s="1"/>
  <c r="J39" i="5"/>
  <c r="I39" i="5"/>
  <c r="H39" i="5"/>
  <c r="G39" i="5"/>
  <c r="F39" i="5"/>
  <c r="F47" i="5" s="1"/>
  <c r="E39" i="5"/>
  <c r="D39" i="5"/>
  <c r="C39" i="5"/>
  <c r="C47" i="5" s="1"/>
  <c r="B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J18" i="5"/>
  <c r="H18" i="5"/>
  <c r="M14" i="5"/>
  <c r="M15" i="5" s="1"/>
  <c r="L14" i="5"/>
  <c r="L15" i="5" s="1"/>
  <c r="K14" i="5"/>
  <c r="K15" i="5" s="1"/>
  <c r="J14" i="5"/>
  <c r="J15" i="5" s="1"/>
  <c r="J19" i="5" s="1"/>
  <c r="I14" i="5"/>
  <c r="I15" i="5" s="1"/>
  <c r="H14" i="5"/>
  <c r="H15" i="5" s="1"/>
  <c r="G14" i="5"/>
  <c r="G15" i="5" s="1"/>
  <c r="F14" i="5"/>
  <c r="F15" i="5" s="1"/>
  <c r="E14" i="5"/>
  <c r="E15" i="5" s="1"/>
  <c r="D14" i="5"/>
  <c r="D15" i="5" s="1"/>
  <c r="C14" i="5"/>
  <c r="C15" i="5" s="1"/>
  <c r="B14" i="5"/>
  <c r="B15" i="5" s="1"/>
  <c r="N13" i="5"/>
  <c r="N10" i="5"/>
  <c r="C19" i="5" l="1"/>
  <c r="C48" i="5" s="1"/>
  <c r="C56" i="5" s="1"/>
  <c r="K19" i="5"/>
  <c r="K48" i="5" s="1"/>
  <c r="K56" i="5" s="1"/>
  <c r="N17" i="5"/>
  <c r="N18" i="5" s="1"/>
  <c r="B18" i="5"/>
  <c r="B19" i="5"/>
  <c r="N14" i="5"/>
  <c r="N15" i="5" s="1"/>
  <c r="G19" i="5"/>
  <c r="F19" i="5"/>
  <c r="F48" i="5" s="1"/>
  <c r="F56" i="5" s="1"/>
  <c r="G47" i="5"/>
  <c r="H47" i="5"/>
  <c r="N45" i="33"/>
  <c r="H46" i="33"/>
  <c r="G47" i="33"/>
  <c r="G55" i="33" s="1"/>
  <c r="H47" i="33"/>
  <c r="H55" i="33" s="1"/>
  <c r="I47" i="33"/>
  <c r="I55" i="33" s="1"/>
  <c r="D47" i="33"/>
  <c r="D55" i="33" s="1"/>
  <c r="L47" i="33"/>
  <c r="L55" i="33" s="1"/>
  <c r="N37" i="33"/>
  <c r="N46" i="33" s="1"/>
  <c r="N47" i="33" s="1"/>
  <c r="N55" i="33" s="1"/>
  <c r="J47" i="33"/>
  <c r="J55" i="33" s="1"/>
  <c r="B47" i="33"/>
  <c r="B55" i="33" s="1"/>
  <c r="E55" i="33"/>
  <c r="M55" i="33"/>
  <c r="F47" i="33"/>
  <c r="F55" i="33" s="1"/>
  <c r="C47" i="33"/>
  <c r="C55" i="33" s="1"/>
  <c r="D19" i="5"/>
  <c r="L19" i="5"/>
  <c r="E19" i="5"/>
  <c r="M19" i="5"/>
  <c r="H19" i="5"/>
  <c r="I19" i="5"/>
  <c r="N54" i="5"/>
  <c r="N55" i="5" s="1"/>
  <c r="D47" i="5"/>
  <c r="L47" i="5"/>
  <c r="E47" i="5"/>
  <c r="M47" i="5"/>
  <c r="I47" i="5"/>
  <c r="N46" i="5"/>
  <c r="B47" i="5"/>
  <c r="J47" i="5"/>
  <c r="J48" i="5" s="1"/>
  <c r="J56" i="5" s="1"/>
  <c r="N39" i="5"/>
  <c r="N19" i="5" l="1"/>
  <c r="B48" i="5"/>
  <c r="B56" i="5" s="1"/>
  <c r="M48" i="5"/>
  <c r="M56" i="5" s="1"/>
  <c r="D48" i="5"/>
  <c r="D56" i="5" s="1"/>
  <c r="G48" i="5"/>
  <c r="G56" i="5" s="1"/>
  <c r="H48" i="5"/>
  <c r="H56" i="5" s="1"/>
  <c r="I48" i="5"/>
  <c r="I56" i="5" s="1"/>
  <c r="E48" i="5"/>
  <c r="E56" i="5" s="1"/>
  <c r="L48" i="5"/>
  <c r="L56" i="5" s="1"/>
  <c r="N47" i="5"/>
  <c r="N48" i="5" s="1"/>
  <c r="N56" i="5" s="1"/>
  <c r="Q44" i="27" l="1"/>
  <c r="K44" i="27"/>
  <c r="J44" i="27"/>
  <c r="H44" i="27"/>
  <c r="C44" i="27"/>
  <c r="B44" i="27"/>
  <c r="Q43" i="27"/>
  <c r="M43" i="27"/>
  <c r="M44" i="27" s="1"/>
  <c r="L43" i="27"/>
  <c r="L44" i="27" s="1"/>
  <c r="K43" i="27"/>
  <c r="J43" i="27"/>
  <c r="I43" i="27"/>
  <c r="I44" i="27" s="1"/>
  <c r="H43" i="27"/>
  <c r="G43" i="27"/>
  <c r="G44" i="27" s="1"/>
  <c r="F43" i="27"/>
  <c r="F44" i="27" s="1"/>
  <c r="E43" i="27"/>
  <c r="E44" i="27" s="1"/>
  <c r="D43" i="27"/>
  <c r="D44" i="27" s="1"/>
  <c r="C43" i="27"/>
  <c r="B43" i="27"/>
  <c r="P42" i="27"/>
  <c r="N42" i="27"/>
  <c r="P41" i="27"/>
  <c r="N41" i="27"/>
  <c r="N40" i="27"/>
  <c r="N43" i="27" s="1"/>
  <c r="Q35" i="27"/>
  <c r="M35" i="27"/>
  <c r="L35" i="27"/>
  <c r="L36" i="27" s="1"/>
  <c r="K35" i="27"/>
  <c r="K36" i="27" s="1"/>
  <c r="J35" i="27"/>
  <c r="I35" i="27"/>
  <c r="I36" i="27" s="1"/>
  <c r="H35" i="27"/>
  <c r="G35" i="27"/>
  <c r="F35" i="27"/>
  <c r="E35" i="27"/>
  <c r="D35" i="27"/>
  <c r="D36" i="27" s="1"/>
  <c r="C35" i="27"/>
  <c r="C36" i="27" s="1"/>
  <c r="B35" i="27"/>
  <c r="N34" i="27"/>
  <c r="N33" i="27"/>
  <c r="N32" i="27"/>
  <c r="N31" i="27"/>
  <c r="N30" i="27"/>
  <c r="N29" i="27"/>
  <c r="Q27" i="27"/>
  <c r="Q36" i="27" s="1"/>
  <c r="Q37" i="27" s="1"/>
  <c r="Q45" i="27" s="1"/>
  <c r="O27" i="27"/>
  <c r="M27" i="27"/>
  <c r="M36" i="27" s="1"/>
  <c r="M37" i="27" s="1"/>
  <c r="L27" i="27"/>
  <c r="K27" i="27"/>
  <c r="J27" i="27"/>
  <c r="I27" i="27"/>
  <c r="H27" i="27"/>
  <c r="G27" i="27"/>
  <c r="G36" i="27" s="1"/>
  <c r="F27" i="27"/>
  <c r="F36" i="27" s="1"/>
  <c r="F37" i="27" s="1"/>
  <c r="E27" i="27"/>
  <c r="E36" i="27" s="1"/>
  <c r="E37" i="27" s="1"/>
  <c r="D27" i="27"/>
  <c r="C27" i="27"/>
  <c r="B27" i="27"/>
  <c r="B36" i="27" s="1"/>
  <c r="N26" i="27"/>
  <c r="P26" i="27" s="1"/>
  <c r="P25" i="27"/>
  <c r="N25" i="27"/>
  <c r="P24" i="27"/>
  <c r="N24" i="27"/>
  <c r="N23" i="27"/>
  <c r="N22" i="27"/>
  <c r="P22" i="27" s="1"/>
  <c r="N21" i="27"/>
  <c r="P21" i="27" s="1"/>
  <c r="N20" i="27"/>
  <c r="P20" i="27" s="1"/>
  <c r="N19" i="27"/>
  <c r="P19" i="27" s="1"/>
  <c r="N18" i="27"/>
  <c r="P18" i="27" s="1"/>
  <c r="N17" i="27"/>
  <c r="P17" i="27" s="1"/>
  <c r="N16" i="27"/>
  <c r="P16" i="27" s="1"/>
  <c r="N15" i="27"/>
  <c r="P15" i="27" s="1"/>
  <c r="N14" i="27"/>
  <c r="P14" i="27" s="1"/>
  <c r="N13" i="27"/>
  <c r="P13" i="27" s="1"/>
  <c r="N12" i="27"/>
  <c r="P12" i="27" s="1"/>
  <c r="N11" i="27"/>
  <c r="P11" i="27" s="1"/>
  <c r="N8" i="27"/>
  <c r="M8" i="27"/>
  <c r="L8" i="27"/>
  <c r="K8" i="27"/>
  <c r="J8" i="27"/>
  <c r="I8" i="27"/>
  <c r="I37" i="27" s="1"/>
  <c r="I45" i="27" s="1"/>
  <c r="H8" i="27"/>
  <c r="G8" i="27"/>
  <c r="F8" i="27"/>
  <c r="E8" i="27"/>
  <c r="D8" i="27"/>
  <c r="C8" i="27"/>
  <c r="B8" i="27"/>
  <c r="H36" i="27" l="1"/>
  <c r="H37" i="27" s="1"/>
  <c r="H45" i="27" s="1"/>
  <c r="N35" i="27"/>
  <c r="J36" i="27"/>
  <c r="C37" i="27"/>
  <c r="C45" i="27" s="1"/>
  <c r="K37" i="27"/>
  <c r="K45" i="27" s="1"/>
  <c r="D37" i="27"/>
  <c r="D45" i="27" s="1"/>
  <c r="L37" i="27"/>
  <c r="L45" i="27" s="1"/>
  <c r="G37" i="27"/>
  <c r="G45" i="27" s="1"/>
  <c r="B37" i="27"/>
  <c r="B45" i="27" s="1"/>
  <c r="J37" i="27"/>
  <c r="J45" i="27" s="1"/>
  <c r="E45" i="27"/>
  <c r="M45" i="27"/>
  <c r="N44" i="27"/>
  <c r="P44" i="27" s="1"/>
  <c r="P43" i="27"/>
  <c r="F45" i="27"/>
  <c r="N27" i="27"/>
  <c r="P40" i="27"/>
  <c r="D49" i="1" l="1"/>
  <c r="N36" i="27"/>
  <c r="N37" i="27" s="1"/>
  <c r="N45" i="27" s="1"/>
  <c r="P45" i="27" s="1"/>
  <c r="P27" i="27"/>
  <c r="M33" i="26" l="1"/>
  <c r="L33" i="26"/>
  <c r="K33" i="26"/>
  <c r="J33" i="26"/>
  <c r="I33" i="26"/>
  <c r="I34" i="26" s="1"/>
  <c r="H33" i="26"/>
  <c r="G33" i="26"/>
  <c r="F33" i="26"/>
  <c r="E33" i="26"/>
  <c r="D33" i="26"/>
  <c r="C33" i="26"/>
  <c r="B33" i="26"/>
  <c r="N32" i="26"/>
  <c r="N31" i="26"/>
  <c r="N30" i="26"/>
  <c r="N29" i="26"/>
  <c r="N28" i="26"/>
  <c r="M26" i="26"/>
  <c r="M34" i="26" s="1"/>
  <c r="L26" i="26"/>
  <c r="L34" i="26" s="1"/>
  <c r="K26" i="26"/>
  <c r="K34" i="26" s="1"/>
  <c r="J26" i="26"/>
  <c r="J34" i="26" s="1"/>
  <c r="I26" i="26"/>
  <c r="H26" i="26"/>
  <c r="H34" i="26" s="1"/>
  <c r="G26" i="26"/>
  <c r="F26" i="26"/>
  <c r="E26" i="26"/>
  <c r="E34" i="26" s="1"/>
  <c r="D26" i="26"/>
  <c r="D34" i="26" s="1"/>
  <c r="C26" i="26"/>
  <c r="C34" i="26" s="1"/>
  <c r="B26" i="26"/>
  <c r="B34" i="26" s="1"/>
  <c r="N25" i="26"/>
  <c r="N24" i="26"/>
  <c r="N23" i="26"/>
  <c r="N22" i="26"/>
  <c r="N21" i="26"/>
  <c r="N20" i="26"/>
  <c r="N19" i="26"/>
  <c r="N18" i="26"/>
  <c r="N17" i="26"/>
  <c r="N16" i="26"/>
  <c r="N15" i="26"/>
  <c r="N14" i="26"/>
  <c r="N26" i="26" s="1"/>
  <c r="N13" i="26"/>
  <c r="N12" i="26"/>
  <c r="N11" i="26"/>
  <c r="N8" i="26"/>
  <c r="M8" i="26"/>
  <c r="L8" i="26"/>
  <c r="L35" i="26" s="1"/>
  <c r="L36" i="26" s="1"/>
  <c r="K8" i="26"/>
  <c r="J8" i="26"/>
  <c r="I8" i="26"/>
  <c r="H8" i="26"/>
  <c r="G8" i="26"/>
  <c r="F8" i="26"/>
  <c r="E8" i="26"/>
  <c r="E35" i="26" s="1"/>
  <c r="E36" i="26" s="1"/>
  <c r="D8" i="26"/>
  <c r="D35" i="26" s="1"/>
  <c r="D36" i="26" s="1"/>
  <c r="C8" i="26"/>
  <c r="B8" i="26"/>
  <c r="M35" i="26" l="1"/>
  <c r="M36" i="26" s="1"/>
  <c r="I35" i="26"/>
  <c r="I36" i="26" s="1"/>
  <c r="N34" i="26"/>
  <c r="F34" i="26"/>
  <c r="F35" i="26" s="1"/>
  <c r="F36" i="26" s="1"/>
  <c r="N35" i="26"/>
  <c r="N36" i="26" s="1"/>
  <c r="G34" i="26"/>
  <c r="G35" i="26" s="1"/>
  <c r="G36" i="26" s="1"/>
  <c r="N33" i="26"/>
  <c r="H35" i="26"/>
  <c r="H36" i="26" s="1"/>
  <c r="J35" i="26"/>
  <c r="J36" i="26" s="1"/>
  <c r="B35" i="26"/>
  <c r="B36" i="26" s="1"/>
  <c r="C35" i="26"/>
  <c r="C36" i="26" s="1"/>
  <c r="K35" i="26"/>
  <c r="K36" i="26" s="1"/>
  <c r="N36" i="35" l="1"/>
  <c r="N19" i="35"/>
  <c r="N20" i="35"/>
  <c r="N21" i="35"/>
  <c r="N28" i="13" l="1"/>
  <c r="H42" i="1" l="1"/>
  <c r="H24" i="1"/>
  <c r="H20" i="1"/>
  <c r="I27" i="15" l="1"/>
  <c r="I28" i="15" s="1"/>
  <c r="I26" i="15"/>
  <c r="G26" i="15"/>
  <c r="F26" i="15"/>
  <c r="M25" i="15"/>
  <c r="M26" i="15" s="1"/>
  <c r="L25" i="15"/>
  <c r="L26" i="15" s="1"/>
  <c r="L27" i="15" s="1"/>
  <c r="L28" i="15" s="1"/>
  <c r="K25" i="15"/>
  <c r="K26" i="15" s="1"/>
  <c r="J25" i="15"/>
  <c r="J26" i="15" s="1"/>
  <c r="J27" i="15" s="1"/>
  <c r="J28" i="15" s="1"/>
  <c r="I25" i="15"/>
  <c r="H25" i="15"/>
  <c r="H26" i="15" s="1"/>
  <c r="G25" i="15"/>
  <c r="F25" i="15"/>
  <c r="E25" i="15"/>
  <c r="E26" i="15" s="1"/>
  <c r="D25" i="15"/>
  <c r="D26" i="15" s="1"/>
  <c r="D27" i="15" s="1"/>
  <c r="D28" i="15" s="1"/>
  <c r="C25" i="15"/>
  <c r="C26" i="15" s="1"/>
  <c r="B25" i="15"/>
  <c r="B26" i="15" s="1"/>
  <c r="B27" i="15" s="1"/>
  <c r="B28" i="15" s="1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25" i="15" s="1"/>
  <c r="N26" i="15" s="1"/>
  <c r="N8" i="15"/>
  <c r="M8" i="15"/>
  <c r="M27" i="15" s="1"/>
  <c r="M28" i="15" s="1"/>
  <c r="L8" i="15"/>
  <c r="K8" i="15"/>
  <c r="K27" i="15" s="1"/>
  <c r="K28" i="15" s="1"/>
  <c r="J8" i="15"/>
  <c r="I8" i="15"/>
  <c r="H8" i="15"/>
  <c r="G8" i="15"/>
  <c r="G27" i="15" s="1"/>
  <c r="G28" i="15" s="1"/>
  <c r="F8" i="15"/>
  <c r="F27" i="15" s="1"/>
  <c r="F28" i="15" s="1"/>
  <c r="E8" i="15"/>
  <c r="E27" i="15" s="1"/>
  <c r="E28" i="15" s="1"/>
  <c r="D8" i="15"/>
  <c r="C8" i="15"/>
  <c r="C27" i="15" s="1"/>
  <c r="C28" i="15" s="1"/>
  <c r="B8" i="15"/>
  <c r="N27" i="15" l="1"/>
  <c r="N28" i="15" s="1"/>
  <c r="H27" i="15"/>
  <c r="H28" i="15" s="1"/>
  <c r="J20" i="19" l="1"/>
  <c r="I20" i="19"/>
  <c r="I21" i="19" s="1"/>
  <c r="I22" i="19" s="1"/>
  <c r="H20" i="19"/>
  <c r="B20" i="19"/>
  <c r="M19" i="19"/>
  <c r="M20" i="19" s="1"/>
  <c r="M21" i="19" s="1"/>
  <c r="M22" i="19" s="1"/>
  <c r="L19" i="19"/>
  <c r="L20" i="19" s="1"/>
  <c r="L21" i="19" s="1"/>
  <c r="L22" i="19" s="1"/>
  <c r="K19" i="19"/>
  <c r="K20" i="19" s="1"/>
  <c r="K21" i="19" s="1"/>
  <c r="K22" i="19" s="1"/>
  <c r="J19" i="19"/>
  <c r="I19" i="19"/>
  <c r="H19" i="19"/>
  <c r="G19" i="19"/>
  <c r="G20" i="19" s="1"/>
  <c r="F19" i="19"/>
  <c r="F20" i="19" s="1"/>
  <c r="E19" i="19"/>
  <c r="E20" i="19" s="1"/>
  <c r="E21" i="19" s="1"/>
  <c r="E22" i="19" s="1"/>
  <c r="D19" i="19"/>
  <c r="D20" i="19" s="1"/>
  <c r="D21" i="19" s="1"/>
  <c r="D22" i="19" s="1"/>
  <c r="C19" i="19"/>
  <c r="C20" i="19" s="1"/>
  <c r="C21" i="19" s="1"/>
  <c r="C22" i="19" s="1"/>
  <c r="B19" i="19"/>
  <c r="N18" i="19"/>
  <c r="N17" i="19"/>
  <c r="N16" i="19"/>
  <c r="N15" i="19"/>
  <c r="N14" i="19"/>
  <c r="N13" i="19"/>
  <c r="N12" i="19"/>
  <c r="N19" i="19" s="1"/>
  <c r="N20" i="19" s="1"/>
  <c r="N11" i="19"/>
  <c r="M8" i="19"/>
  <c r="L8" i="19"/>
  <c r="K8" i="19"/>
  <c r="J8" i="19"/>
  <c r="J21" i="19" s="1"/>
  <c r="J22" i="19" s="1"/>
  <c r="I8" i="19"/>
  <c r="H8" i="19"/>
  <c r="H21" i="19" s="1"/>
  <c r="H22" i="19" s="1"/>
  <c r="G8" i="19"/>
  <c r="G21" i="19" s="1"/>
  <c r="G22" i="19" s="1"/>
  <c r="F8" i="19"/>
  <c r="F21" i="19" s="1"/>
  <c r="F22" i="19" s="1"/>
  <c r="E8" i="19"/>
  <c r="D8" i="19"/>
  <c r="C8" i="19"/>
  <c r="B8" i="19"/>
  <c r="B21" i="19" s="1"/>
  <c r="B22" i="19" s="1"/>
  <c r="N8" i="19" l="1"/>
  <c r="N21" i="19" s="1"/>
  <c r="N22" i="19" s="1"/>
  <c r="L24" i="17" l="1"/>
  <c r="K24" i="17"/>
  <c r="J24" i="17"/>
  <c r="D24" i="17"/>
  <c r="C24" i="17"/>
  <c r="B24" i="17"/>
  <c r="M23" i="17"/>
  <c r="M24" i="17" s="1"/>
  <c r="L23" i="17"/>
  <c r="K23" i="17"/>
  <c r="J23" i="17"/>
  <c r="I23" i="17"/>
  <c r="I24" i="17" s="1"/>
  <c r="H23" i="17"/>
  <c r="H24" i="17" s="1"/>
  <c r="G23" i="17"/>
  <c r="G24" i="17" s="1"/>
  <c r="F23" i="17"/>
  <c r="F24" i="17" s="1"/>
  <c r="E23" i="17"/>
  <c r="E24" i="17" s="1"/>
  <c r="D23" i="17"/>
  <c r="C23" i="17"/>
  <c r="B23" i="17"/>
  <c r="N22" i="17"/>
  <c r="N23" i="17" s="1"/>
  <c r="N24" i="17" s="1"/>
  <c r="L18" i="17"/>
  <c r="K18" i="17"/>
  <c r="J18" i="17"/>
  <c r="D18" i="17"/>
  <c r="C18" i="17"/>
  <c r="B18" i="17"/>
  <c r="M17" i="17"/>
  <c r="M18" i="17" s="1"/>
  <c r="M19" i="17" s="1"/>
  <c r="M25" i="17" s="1"/>
  <c r="L17" i="17"/>
  <c r="K17" i="17"/>
  <c r="J17" i="17"/>
  <c r="I17" i="17"/>
  <c r="I18" i="17" s="1"/>
  <c r="H17" i="17"/>
  <c r="H18" i="17" s="1"/>
  <c r="G17" i="17"/>
  <c r="G18" i="17" s="1"/>
  <c r="F17" i="17"/>
  <c r="F18" i="17" s="1"/>
  <c r="F19" i="17" s="1"/>
  <c r="F25" i="17" s="1"/>
  <c r="E17" i="17"/>
  <c r="E18" i="17" s="1"/>
  <c r="E19" i="17" s="1"/>
  <c r="E25" i="17" s="1"/>
  <c r="D17" i="17"/>
  <c r="C17" i="17"/>
  <c r="B17" i="17"/>
  <c r="N16" i="17"/>
  <c r="N15" i="17"/>
  <c r="N14" i="17"/>
  <c r="N13" i="17"/>
  <c r="N12" i="17"/>
  <c r="N11" i="17"/>
  <c r="N17" i="17" s="1"/>
  <c r="N18" i="17" s="1"/>
  <c r="N19" i="17" s="1"/>
  <c r="N25" i="17" s="1"/>
  <c r="N8" i="17"/>
  <c r="M8" i="17"/>
  <c r="L8" i="17"/>
  <c r="L19" i="17" s="1"/>
  <c r="L25" i="17" s="1"/>
  <c r="K8" i="17"/>
  <c r="K19" i="17" s="1"/>
  <c r="K25" i="17" s="1"/>
  <c r="J8" i="17"/>
  <c r="J19" i="17" s="1"/>
  <c r="J25" i="17" s="1"/>
  <c r="I8" i="17"/>
  <c r="I19" i="17" s="1"/>
  <c r="I25" i="17" s="1"/>
  <c r="H8" i="17"/>
  <c r="H19" i="17" s="1"/>
  <c r="G8" i="17"/>
  <c r="F8" i="17"/>
  <c r="E8" i="17"/>
  <c r="D8" i="17"/>
  <c r="D19" i="17" s="1"/>
  <c r="D25" i="17" s="1"/>
  <c r="C8" i="17"/>
  <c r="C19" i="17" s="1"/>
  <c r="C25" i="17" s="1"/>
  <c r="B8" i="17"/>
  <c r="B19" i="17" s="1"/>
  <c r="B25" i="17" s="1"/>
  <c r="G19" i="17" l="1"/>
  <c r="G25" i="17" s="1"/>
  <c r="H25" i="17"/>
  <c r="I18" i="25" l="1"/>
  <c r="I19" i="25" s="1"/>
  <c r="I17" i="25"/>
  <c r="H17" i="25"/>
  <c r="G17" i="25"/>
  <c r="F17" i="25"/>
  <c r="M16" i="25"/>
  <c r="M17" i="25" s="1"/>
  <c r="L16" i="25"/>
  <c r="L17" i="25" s="1"/>
  <c r="L18" i="25" s="1"/>
  <c r="L19" i="25" s="1"/>
  <c r="K16" i="25"/>
  <c r="K17" i="25" s="1"/>
  <c r="K18" i="25" s="1"/>
  <c r="K19" i="25" s="1"/>
  <c r="J16" i="25"/>
  <c r="J17" i="25" s="1"/>
  <c r="J18" i="25" s="1"/>
  <c r="J19" i="25" s="1"/>
  <c r="I16" i="25"/>
  <c r="H16" i="25"/>
  <c r="G16" i="25"/>
  <c r="F16" i="25"/>
  <c r="E16" i="25"/>
  <c r="E17" i="25" s="1"/>
  <c r="D16" i="25"/>
  <c r="D17" i="25" s="1"/>
  <c r="D18" i="25" s="1"/>
  <c r="D19" i="25" s="1"/>
  <c r="C16" i="25"/>
  <c r="C17" i="25" s="1"/>
  <c r="C18" i="25" s="1"/>
  <c r="C19" i="25" s="1"/>
  <c r="B16" i="25"/>
  <c r="B17" i="25" s="1"/>
  <c r="B18" i="25" s="1"/>
  <c r="B19" i="25" s="1"/>
  <c r="N15" i="25"/>
  <c r="N14" i="25"/>
  <c r="N13" i="25"/>
  <c r="N12" i="25"/>
  <c r="N11" i="25"/>
  <c r="N16" i="25" s="1"/>
  <c r="N17" i="25" s="1"/>
  <c r="N8" i="25"/>
  <c r="N18" i="25" s="1"/>
  <c r="N19" i="25" s="1"/>
  <c r="M8" i="25"/>
  <c r="M18" i="25" s="1"/>
  <c r="M19" i="25" s="1"/>
  <c r="L8" i="25"/>
  <c r="K8" i="25"/>
  <c r="J8" i="25"/>
  <c r="I8" i="25"/>
  <c r="H8" i="25"/>
  <c r="H18" i="25" s="1"/>
  <c r="H19" i="25" s="1"/>
  <c r="G8" i="25"/>
  <c r="G18" i="25" s="1"/>
  <c r="G19" i="25" s="1"/>
  <c r="F8" i="25"/>
  <c r="F18" i="25" s="1"/>
  <c r="F19" i="25" s="1"/>
  <c r="E8" i="25"/>
  <c r="E18" i="25" s="1"/>
  <c r="E19" i="25" s="1"/>
  <c r="D8" i="25"/>
  <c r="C8" i="25"/>
  <c r="B8" i="25"/>
  <c r="L28" i="23" l="1"/>
  <c r="G28" i="23"/>
  <c r="F28" i="23"/>
  <c r="D28" i="23"/>
  <c r="M27" i="23"/>
  <c r="M28" i="23" s="1"/>
  <c r="L27" i="23"/>
  <c r="K27" i="23"/>
  <c r="K28" i="23" s="1"/>
  <c r="J27" i="23"/>
  <c r="J28" i="23" s="1"/>
  <c r="I27" i="23"/>
  <c r="I28" i="23" s="1"/>
  <c r="H27" i="23"/>
  <c r="H28" i="23" s="1"/>
  <c r="G27" i="23"/>
  <c r="F27" i="23"/>
  <c r="E27" i="23"/>
  <c r="E28" i="23" s="1"/>
  <c r="D27" i="23"/>
  <c r="C27" i="23"/>
  <c r="C28" i="23" s="1"/>
  <c r="B27" i="23"/>
  <c r="B28" i="23" s="1"/>
  <c r="N26" i="23"/>
  <c r="N27" i="23" s="1"/>
  <c r="N28" i="23" s="1"/>
  <c r="G23" i="23"/>
  <c r="G29" i="23" s="1"/>
  <c r="L22" i="23"/>
  <c r="G22" i="23"/>
  <c r="F22" i="23"/>
  <c r="D22" i="23"/>
  <c r="M21" i="23"/>
  <c r="M22" i="23" s="1"/>
  <c r="L21" i="23"/>
  <c r="K21" i="23"/>
  <c r="K22" i="23" s="1"/>
  <c r="J21" i="23"/>
  <c r="J22" i="23" s="1"/>
  <c r="I21" i="23"/>
  <c r="I22" i="23" s="1"/>
  <c r="I23" i="23" s="1"/>
  <c r="I29" i="23" s="1"/>
  <c r="H21" i="23"/>
  <c r="H22" i="23" s="1"/>
  <c r="G21" i="23"/>
  <c r="F21" i="23"/>
  <c r="E21" i="23"/>
  <c r="E22" i="23" s="1"/>
  <c r="D21" i="23"/>
  <c r="C21" i="23"/>
  <c r="C22" i="23" s="1"/>
  <c r="B21" i="23"/>
  <c r="B22" i="23" s="1"/>
  <c r="N20" i="23"/>
  <c r="N19" i="23"/>
  <c r="N18" i="23"/>
  <c r="N17" i="23"/>
  <c r="N16" i="23"/>
  <c r="N15" i="23"/>
  <c r="N14" i="23"/>
  <c r="N13" i="23"/>
  <c r="N12" i="23"/>
  <c r="N11" i="23"/>
  <c r="N21" i="23" s="1"/>
  <c r="N22" i="23" s="1"/>
  <c r="N8" i="23"/>
  <c r="N23" i="23" s="1"/>
  <c r="N29" i="23" s="1"/>
  <c r="M8" i="23"/>
  <c r="M23" i="23" s="1"/>
  <c r="M29" i="23" s="1"/>
  <c r="L8" i="23"/>
  <c r="L23" i="23" s="1"/>
  <c r="L29" i="23" s="1"/>
  <c r="K8" i="23"/>
  <c r="K23" i="23" s="1"/>
  <c r="K29" i="23" s="1"/>
  <c r="J8" i="23"/>
  <c r="I8" i="23"/>
  <c r="H8" i="23"/>
  <c r="G8" i="23"/>
  <c r="F8" i="23"/>
  <c r="F23" i="23" s="1"/>
  <c r="F29" i="23" s="1"/>
  <c r="E8" i="23"/>
  <c r="E23" i="23" s="1"/>
  <c r="E29" i="23" s="1"/>
  <c r="D8" i="23"/>
  <c r="D23" i="23" s="1"/>
  <c r="D29" i="23" s="1"/>
  <c r="C8" i="23"/>
  <c r="C23" i="23" s="1"/>
  <c r="C29" i="23" s="1"/>
  <c r="B8" i="23"/>
  <c r="H23" i="23" l="1"/>
  <c r="H29" i="23" s="1"/>
  <c r="B23" i="23"/>
  <c r="B29" i="23" s="1"/>
  <c r="J23" i="23"/>
  <c r="J29" i="23" s="1"/>
  <c r="L24" i="20" l="1"/>
  <c r="K24" i="20"/>
  <c r="J24" i="20"/>
  <c r="I24" i="20"/>
  <c r="D24" i="20"/>
  <c r="C24" i="20"/>
  <c r="B24" i="20"/>
  <c r="N23" i="20"/>
  <c r="N24" i="20" s="1"/>
  <c r="M23" i="20"/>
  <c r="M24" i="20" s="1"/>
  <c r="L23" i="20"/>
  <c r="J23" i="20"/>
  <c r="I23" i="20"/>
  <c r="H23" i="20"/>
  <c r="H24" i="20" s="1"/>
  <c r="G23" i="20"/>
  <c r="G24" i="20" s="1"/>
  <c r="F23" i="20"/>
  <c r="F24" i="20" s="1"/>
  <c r="E23" i="20"/>
  <c r="E24" i="20" s="1"/>
  <c r="D23" i="20"/>
  <c r="C23" i="20"/>
  <c r="B23" i="20"/>
  <c r="N22" i="20"/>
  <c r="K19" i="20"/>
  <c r="K25" i="20" s="1"/>
  <c r="C19" i="20"/>
  <c r="C25" i="20" s="1"/>
  <c r="B19" i="20"/>
  <c r="B25" i="20" s="1"/>
  <c r="K18" i="20"/>
  <c r="I18" i="20"/>
  <c r="H18" i="20"/>
  <c r="C18" i="20"/>
  <c r="B18" i="20"/>
  <c r="M17" i="20"/>
  <c r="M18" i="20" s="1"/>
  <c r="L17" i="20"/>
  <c r="L18" i="20" s="1"/>
  <c r="L19" i="20" s="1"/>
  <c r="L25" i="20" s="1"/>
  <c r="K17" i="20"/>
  <c r="J17" i="20"/>
  <c r="J18" i="20" s="1"/>
  <c r="I17" i="20"/>
  <c r="H17" i="20"/>
  <c r="G17" i="20"/>
  <c r="G18" i="20" s="1"/>
  <c r="F17" i="20"/>
  <c r="F18" i="20" s="1"/>
  <c r="F19" i="20" s="1"/>
  <c r="F25" i="20" s="1"/>
  <c r="E17" i="20"/>
  <c r="E18" i="20" s="1"/>
  <c r="D17" i="20"/>
  <c r="D18" i="20" s="1"/>
  <c r="D19" i="20" s="1"/>
  <c r="D25" i="20" s="1"/>
  <c r="C17" i="20"/>
  <c r="B17" i="20"/>
  <c r="N16" i="20"/>
  <c r="N15" i="20"/>
  <c r="N14" i="20"/>
  <c r="N13" i="20"/>
  <c r="N12" i="20"/>
  <c r="N17" i="20" s="1"/>
  <c r="N18" i="20" s="1"/>
  <c r="N11" i="20"/>
  <c r="M8" i="20"/>
  <c r="M19" i="20" s="1"/>
  <c r="L8" i="20"/>
  <c r="K8" i="20"/>
  <c r="J8" i="20"/>
  <c r="J19" i="20" s="1"/>
  <c r="J25" i="20" s="1"/>
  <c r="I8" i="20"/>
  <c r="I19" i="20" s="1"/>
  <c r="I25" i="20" s="1"/>
  <c r="H8" i="20"/>
  <c r="H19" i="20" s="1"/>
  <c r="H25" i="20" s="1"/>
  <c r="G8" i="20"/>
  <c r="G19" i="20" s="1"/>
  <c r="G25" i="20" s="1"/>
  <c r="F8" i="20"/>
  <c r="E8" i="20"/>
  <c r="E19" i="20" s="1"/>
  <c r="D8" i="20"/>
  <c r="C8" i="20"/>
  <c r="B8" i="20"/>
  <c r="N8" i="20" s="1"/>
  <c r="N19" i="20" s="1"/>
  <c r="N25" i="20" s="1"/>
  <c r="E25" i="20" l="1"/>
  <c r="M25" i="20"/>
  <c r="M27" i="14" l="1"/>
  <c r="L27" i="14"/>
  <c r="K27" i="14"/>
  <c r="G27" i="14"/>
  <c r="E27" i="14"/>
  <c r="D27" i="14"/>
  <c r="C27" i="14"/>
  <c r="M26" i="14"/>
  <c r="L26" i="14"/>
  <c r="K26" i="14"/>
  <c r="J26" i="14"/>
  <c r="J27" i="14" s="1"/>
  <c r="I26" i="14"/>
  <c r="I27" i="14" s="1"/>
  <c r="H26" i="14"/>
  <c r="H27" i="14" s="1"/>
  <c r="G26" i="14"/>
  <c r="F26" i="14"/>
  <c r="F27" i="14" s="1"/>
  <c r="E26" i="14"/>
  <c r="D26" i="14"/>
  <c r="C26" i="14"/>
  <c r="B26" i="14"/>
  <c r="B27" i="14" s="1"/>
  <c r="N25" i="14"/>
  <c r="N26" i="14" s="1"/>
  <c r="N27" i="14" s="1"/>
  <c r="M21" i="14"/>
  <c r="L21" i="14"/>
  <c r="K21" i="14"/>
  <c r="G21" i="14"/>
  <c r="E21" i="14"/>
  <c r="D21" i="14"/>
  <c r="C21" i="14"/>
  <c r="M20" i="14"/>
  <c r="L20" i="14"/>
  <c r="K20" i="14"/>
  <c r="J20" i="14"/>
  <c r="J21" i="14" s="1"/>
  <c r="I20" i="14"/>
  <c r="I21" i="14" s="1"/>
  <c r="H20" i="14"/>
  <c r="H21" i="14" s="1"/>
  <c r="G20" i="14"/>
  <c r="F20" i="14"/>
  <c r="F21" i="14" s="1"/>
  <c r="E20" i="14"/>
  <c r="D20" i="14"/>
  <c r="C20" i="14"/>
  <c r="B20" i="14"/>
  <c r="B21" i="14" s="1"/>
  <c r="N19" i="14"/>
  <c r="N18" i="14"/>
  <c r="N17" i="14"/>
  <c r="N16" i="14"/>
  <c r="N15" i="14"/>
  <c r="N14" i="14"/>
  <c r="N13" i="14"/>
  <c r="N12" i="14"/>
  <c r="N11" i="14"/>
  <c r="N20" i="14" s="1"/>
  <c r="N21" i="14" s="1"/>
  <c r="N8" i="14"/>
  <c r="M8" i="14"/>
  <c r="M22" i="14" s="1"/>
  <c r="M28" i="14" s="1"/>
  <c r="L8" i="14"/>
  <c r="L22" i="14" s="1"/>
  <c r="L28" i="14" s="1"/>
  <c r="K8" i="14"/>
  <c r="K22" i="14" s="1"/>
  <c r="K28" i="14" s="1"/>
  <c r="J8" i="14"/>
  <c r="I8" i="14"/>
  <c r="H8" i="14"/>
  <c r="H22" i="14" s="1"/>
  <c r="H28" i="14" s="1"/>
  <c r="G8" i="14"/>
  <c r="G22" i="14" s="1"/>
  <c r="G28" i="14" s="1"/>
  <c r="F8" i="14"/>
  <c r="F22" i="14" s="1"/>
  <c r="E8" i="14"/>
  <c r="E22" i="14" s="1"/>
  <c r="E28" i="14" s="1"/>
  <c r="D8" i="14"/>
  <c r="D22" i="14" s="1"/>
  <c r="D28" i="14" s="1"/>
  <c r="C8" i="14"/>
  <c r="C22" i="14" s="1"/>
  <c r="C28" i="14" s="1"/>
  <c r="B8" i="14"/>
  <c r="I22" i="14" l="1"/>
  <c r="I28" i="14" s="1"/>
  <c r="B22" i="14"/>
  <c r="B28" i="14" s="1"/>
  <c r="J22" i="14"/>
  <c r="J28" i="14" s="1"/>
  <c r="F28" i="14"/>
  <c r="N22" i="14"/>
  <c r="N28" i="14" s="1"/>
  <c r="L37" i="8" l="1"/>
  <c r="K37" i="8"/>
  <c r="D37" i="8"/>
  <c r="C37" i="8"/>
  <c r="M36" i="8"/>
  <c r="M37" i="8" s="1"/>
  <c r="L36" i="8"/>
  <c r="K36" i="8"/>
  <c r="J36" i="8"/>
  <c r="J37" i="8" s="1"/>
  <c r="I36" i="8"/>
  <c r="I37" i="8" s="1"/>
  <c r="H36" i="8"/>
  <c r="H37" i="8" s="1"/>
  <c r="G36" i="8"/>
  <c r="G37" i="8" s="1"/>
  <c r="F36" i="8"/>
  <c r="F37" i="8" s="1"/>
  <c r="E36" i="8"/>
  <c r="E37" i="8" s="1"/>
  <c r="D36" i="8"/>
  <c r="C36" i="8"/>
  <c r="B36" i="8"/>
  <c r="B37" i="8" s="1"/>
  <c r="N35" i="8"/>
  <c r="N36" i="8" s="1"/>
  <c r="N37" i="8" s="1"/>
  <c r="L31" i="8"/>
  <c r="M30" i="8"/>
  <c r="L30" i="8"/>
  <c r="K30" i="8"/>
  <c r="K31" i="8" s="1"/>
  <c r="J30" i="8"/>
  <c r="I30" i="8"/>
  <c r="I31" i="8" s="1"/>
  <c r="H30" i="8"/>
  <c r="G30" i="8"/>
  <c r="F30" i="8"/>
  <c r="F31" i="8" s="1"/>
  <c r="F32" i="8" s="1"/>
  <c r="F38" i="8" s="1"/>
  <c r="E30" i="8"/>
  <c r="D30" i="8"/>
  <c r="D31" i="8" s="1"/>
  <c r="C30" i="8"/>
  <c r="C31" i="8" s="1"/>
  <c r="B30" i="8"/>
  <c r="N29" i="8"/>
  <c r="N28" i="8"/>
  <c r="N27" i="8"/>
  <c r="N26" i="8"/>
  <c r="N25" i="8"/>
  <c r="M23" i="8"/>
  <c r="L23" i="8"/>
  <c r="K23" i="8"/>
  <c r="J23" i="8"/>
  <c r="J31" i="8" s="1"/>
  <c r="I23" i="8"/>
  <c r="H23" i="8"/>
  <c r="G23" i="8"/>
  <c r="G31" i="8" s="1"/>
  <c r="G32" i="8" s="1"/>
  <c r="G38" i="8" s="1"/>
  <c r="F23" i="8"/>
  <c r="E23" i="8"/>
  <c r="D23" i="8"/>
  <c r="C23" i="8"/>
  <c r="B23" i="8"/>
  <c r="B31" i="8" s="1"/>
  <c r="N22" i="8"/>
  <c r="N21" i="8"/>
  <c r="N20" i="8"/>
  <c r="N19" i="8"/>
  <c r="N18" i="8"/>
  <c r="N17" i="8"/>
  <c r="N16" i="8"/>
  <c r="N15" i="8"/>
  <c r="N14" i="8"/>
  <c r="N13" i="8"/>
  <c r="N12" i="8"/>
  <c r="N11" i="8"/>
  <c r="N23" i="8" s="1"/>
  <c r="N8" i="8"/>
  <c r="M8" i="8"/>
  <c r="L8" i="8"/>
  <c r="L32" i="8" s="1"/>
  <c r="L38" i="8" s="1"/>
  <c r="K8" i="8"/>
  <c r="J8" i="8"/>
  <c r="J32" i="8" s="1"/>
  <c r="I8" i="8"/>
  <c r="I32" i="8" s="1"/>
  <c r="I38" i="8" s="1"/>
  <c r="H8" i="8"/>
  <c r="G8" i="8"/>
  <c r="F8" i="8"/>
  <c r="E8" i="8"/>
  <c r="D8" i="8"/>
  <c r="C8" i="8"/>
  <c r="B8" i="8"/>
  <c r="B32" i="8" s="1"/>
  <c r="C32" i="8" l="1"/>
  <c r="C38" i="8" s="1"/>
  <c r="E31" i="8"/>
  <c r="E32" i="8" s="1"/>
  <c r="E38" i="8" s="1"/>
  <c r="M31" i="8"/>
  <c r="M32" i="8" s="1"/>
  <c r="M38" i="8" s="1"/>
  <c r="N30" i="8"/>
  <c r="N31" i="8" s="1"/>
  <c r="N32" i="8" s="1"/>
  <c r="N38" i="8" s="1"/>
  <c r="H32" i="8"/>
  <c r="H38" i="8" s="1"/>
  <c r="H31" i="8"/>
  <c r="K32" i="8"/>
  <c r="K38" i="8" s="1"/>
  <c r="D32" i="8"/>
  <c r="D38" i="8" s="1"/>
  <c r="J38" i="8"/>
  <c r="B38" i="8"/>
  <c r="N23" i="10" l="1"/>
  <c r="M20" i="10"/>
  <c r="L20" i="10"/>
  <c r="K20" i="10"/>
  <c r="J20" i="10"/>
  <c r="I20" i="10"/>
  <c r="H20" i="10"/>
  <c r="G20" i="10"/>
  <c r="F20" i="10"/>
  <c r="E20" i="10"/>
  <c r="D20" i="10"/>
  <c r="C20" i="10"/>
  <c r="B20" i="10"/>
  <c r="N19" i="10"/>
  <c r="N18" i="10"/>
  <c r="N17" i="10"/>
  <c r="N16" i="10"/>
  <c r="N15" i="10"/>
  <c r="N14" i="10"/>
  <c r="N13" i="10"/>
  <c r="N12" i="10"/>
  <c r="N20" i="10" s="1"/>
  <c r="N11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L27" i="22" l="1"/>
  <c r="K27" i="22"/>
  <c r="J27" i="22"/>
  <c r="D27" i="22"/>
  <c r="C27" i="22"/>
  <c r="B27" i="22"/>
  <c r="M26" i="22"/>
  <c r="M27" i="22" s="1"/>
  <c r="L26" i="22"/>
  <c r="K26" i="22"/>
  <c r="J26" i="22"/>
  <c r="I26" i="22"/>
  <c r="I27" i="22" s="1"/>
  <c r="H26" i="22"/>
  <c r="H27" i="22" s="1"/>
  <c r="G26" i="22"/>
  <c r="G27" i="22" s="1"/>
  <c r="F26" i="22"/>
  <c r="F27" i="22" s="1"/>
  <c r="E26" i="22"/>
  <c r="E27" i="22" s="1"/>
  <c r="D26" i="22"/>
  <c r="C26" i="22"/>
  <c r="B26" i="22"/>
  <c r="N25" i="22"/>
  <c r="N26" i="22" s="1"/>
  <c r="N27" i="22" s="1"/>
  <c r="L21" i="22"/>
  <c r="K21" i="22"/>
  <c r="J21" i="22"/>
  <c r="D21" i="22"/>
  <c r="C21" i="22"/>
  <c r="B21" i="22"/>
  <c r="M20" i="22"/>
  <c r="M21" i="22" s="1"/>
  <c r="L20" i="22"/>
  <c r="K20" i="22"/>
  <c r="J20" i="22"/>
  <c r="I20" i="22"/>
  <c r="I21" i="22" s="1"/>
  <c r="H20" i="22"/>
  <c r="H21" i="22" s="1"/>
  <c r="G20" i="22"/>
  <c r="G21" i="22" s="1"/>
  <c r="F20" i="22"/>
  <c r="F21" i="22" s="1"/>
  <c r="E20" i="22"/>
  <c r="E21" i="22" s="1"/>
  <c r="D20" i="22"/>
  <c r="C20" i="22"/>
  <c r="B20" i="22"/>
  <c r="N19" i="22"/>
  <c r="N18" i="22"/>
  <c r="N17" i="22"/>
  <c r="N16" i="22"/>
  <c r="N15" i="22"/>
  <c r="N14" i="22"/>
  <c r="N13" i="22"/>
  <c r="N12" i="22"/>
  <c r="N11" i="22"/>
  <c r="N20" i="22" s="1"/>
  <c r="N21" i="22" s="1"/>
  <c r="N8" i="22"/>
  <c r="M8" i="22"/>
  <c r="M22" i="22" s="1"/>
  <c r="M28" i="22" s="1"/>
  <c r="L8" i="22"/>
  <c r="L22" i="22" s="1"/>
  <c r="L28" i="22" s="1"/>
  <c r="K8" i="22"/>
  <c r="K22" i="22" s="1"/>
  <c r="K28" i="22" s="1"/>
  <c r="J8" i="22"/>
  <c r="J22" i="22" s="1"/>
  <c r="J28" i="22" s="1"/>
  <c r="I8" i="22"/>
  <c r="H8" i="22"/>
  <c r="H22" i="22" s="1"/>
  <c r="H28" i="22" s="1"/>
  <c r="G8" i="22"/>
  <c r="F8" i="22"/>
  <c r="E8" i="22"/>
  <c r="E22" i="22" s="1"/>
  <c r="E28" i="22" s="1"/>
  <c r="D8" i="22"/>
  <c r="D22" i="22" s="1"/>
  <c r="D28" i="22" s="1"/>
  <c r="C8" i="22"/>
  <c r="C22" i="22" s="1"/>
  <c r="C28" i="22" s="1"/>
  <c r="B8" i="22"/>
  <c r="B22" i="22" s="1"/>
  <c r="B28" i="22" s="1"/>
  <c r="B8" i="16"/>
  <c r="C8" i="16"/>
  <c r="D8" i="16"/>
  <c r="E8" i="16"/>
  <c r="F8" i="16"/>
  <c r="G8" i="16"/>
  <c r="G19" i="16" s="1"/>
  <c r="G20" i="16" s="1"/>
  <c r="H8" i="16"/>
  <c r="I8" i="16"/>
  <c r="J8" i="16"/>
  <c r="K8" i="16"/>
  <c r="L8" i="16"/>
  <c r="M8" i="16"/>
  <c r="N8" i="16"/>
  <c r="N11" i="16"/>
  <c r="N17" i="16" s="1"/>
  <c r="N18" i="16" s="1"/>
  <c r="N19" i="16" s="1"/>
  <c r="N20" i="16" s="1"/>
  <c r="N12" i="16"/>
  <c r="N13" i="16"/>
  <c r="N14" i="16"/>
  <c r="N15" i="16"/>
  <c r="N16" i="16"/>
  <c r="B17" i="16"/>
  <c r="C17" i="16"/>
  <c r="D17" i="16"/>
  <c r="D18" i="16" s="1"/>
  <c r="D19" i="16" s="1"/>
  <c r="D20" i="16" s="1"/>
  <c r="E17" i="16"/>
  <c r="E18" i="16" s="1"/>
  <c r="E19" i="16" s="1"/>
  <c r="E20" i="16" s="1"/>
  <c r="F17" i="16"/>
  <c r="F18" i="16" s="1"/>
  <c r="F19" i="16" s="1"/>
  <c r="F20" i="16" s="1"/>
  <c r="G17" i="16"/>
  <c r="H17" i="16"/>
  <c r="I17" i="16"/>
  <c r="J17" i="16"/>
  <c r="K17" i="16"/>
  <c r="L17" i="16"/>
  <c r="L18" i="16" s="1"/>
  <c r="L19" i="16" s="1"/>
  <c r="L20" i="16" s="1"/>
  <c r="M17" i="16"/>
  <c r="B18" i="16"/>
  <c r="C18" i="16"/>
  <c r="G18" i="16"/>
  <c r="H18" i="16"/>
  <c r="I18" i="16"/>
  <c r="J18" i="16"/>
  <c r="K18" i="16"/>
  <c r="M18" i="16"/>
  <c r="B19" i="16"/>
  <c r="B20" i="16" s="1"/>
  <c r="C19" i="16"/>
  <c r="H19" i="16"/>
  <c r="H20" i="16" s="1"/>
  <c r="I19" i="16"/>
  <c r="J19" i="16"/>
  <c r="J20" i="16" s="1"/>
  <c r="K19" i="16"/>
  <c r="M19" i="16"/>
  <c r="C20" i="16"/>
  <c r="I20" i="16"/>
  <c r="K20" i="16"/>
  <c r="M20" i="16"/>
  <c r="F22" i="22" l="1"/>
  <c r="F28" i="22" s="1"/>
  <c r="N22" i="22"/>
  <c r="N28" i="22" s="1"/>
  <c r="G22" i="22"/>
  <c r="G28" i="22" s="1"/>
  <c r="I22" i="22"/>
  <c r="I28" i="22" s="1"/>
  <c r="L30" i="12" l="1"/>
  <c r="J30" i="12"/>
  <c r="D30" i="12"/>
  <c r="B30" i="12"/>
  <c r="M29" i="12"/>
  <c r="M30" i="12" s="1"/>
  <c r="L29" i="12"/>
  <c r="K29" i="12"/>
  <c r="K30" i="12" s="1"/>
  <c r="J29" i="12"/>
  <c r="I29" i="12"/>
  <c r="I30" i="12" s="1"/>
  <c r="H29" i="12"/>
  <c r="H30" i="12" s="1"/>
  <c r="G29" i="12"/>
  <c r="G30" i="12" s="1"/>
  <c r="F29" i="12"/>
  <c r="F30" i="12" s="1"/>
  <c r="E29" i="12"/>
  <c r="E30" i="12" s="1"/>
  <c r="D29" i="12"/>
  <c r="C29" i="12"/>
  <c r="C30" i="12" s="1"/>
  <c r="B29" i="12"/>
  <c r="N28" i="12"/>
  <c r="N29" i="12" s="1"/>
  <c r="N30" i="12" s="1"/>
  <c r="L25" i="12"/>
  <c r="L31" i="12" s="1"/>
  <c r="D25" i="12"/>
  <c r="D31" i="12" s="1"/>
  <c r="L24" i="12"/>
  <c r="J24" i="12"/>
  <c r="I24" i="12"/>
  <c r="D24" i="12"/>
  <c r="B24" i="12"/>
  <c r="M23" i="12"/>
  <c r="M24" i="12" s="1"/>
  <c r="M25" i="12" s="1"/>
  <c r="M31" i="12" s="1"/>
  <c r="L23" i="12"/>
  <c r="K23" i="12"/>
  <c r="K24" i="12" s="1"/>
  <c r="J23" i="12"/>
  <c r="I23" i="12"/>
  <c r="H23" i="12"/>
  <c r="H24" i="12" s="1"/>
  <c r="G23" i="12"/>
  <c r="G24" i="12" s="1"/>
  <c r="F23" i="12"/>
  <c r="F24" i="12" s="1"/>
  <c r="E23" i="12"/>
  <c r="E24" i="12" s="1"/>
  <c r="E25" i="12" s="1"/>
  <c r="E31" i="12" s="1"/>
  <c r="D23" i="12"/>
  <c r="C23" i="12"/>
  <c r="C24" i="12" s="1"/>
  <c r="B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23" i="12" s="1"/>
  <c r="N24" i="12" s="1"/>
  <c r="N8" i="12"/>
  <c r="N25" i="12" s="1"/>
  <c r="N31" i="12" s="1"/>
  <c r="M8" i="12"/>
  <c r="L8" i="12"/>
  <c r="K8" i="12"/>
  <c r="K25" i="12" s="1"/>
  <c r="K31" i="12" s="1"/>
  <c r="J8" i="12"/>
  <c r="J25" i="12" s="1"/>
  <c r="J31" i="12" s="1"/>
  <c r="I8" i="12"/>
  <c r="I25" i="12" s="1"/>
  <c r="I31" i="12" s="1"/>
  <c r="H8" i="12"/>
  <c r="G8" i="12"/>
  <c r="G25" i="12" s="1"/>
  <c r="G31" i="12" s="1"/>
  <c r="F8" i="12"/>
  <c r="F25" i="12" s="1"/>
  <c r="F31" i="12" s="1"/>
  <c r="E8" i="12"/>
  <c r="D8" i="12"/>
  <c r="C8" i="12"/>
  <c r="C25" i="12" s="1"/>
  <c r="C31" i="12" s="1"/>
  <c r="B8" i="12"/>
  <c r="B25" i="12" s="1"/>
  <c r="B31" i="12" s="1"/>
  <c r="H25" i="12" l="1"/>
  <c r="H31" i="12" s="1"/>
  <c r="L60" i="9" l="1"/>
  <c r="K60" i="9"/>
  <c r="J60" i="9"/>
  <c r="I60" i="9"/>
  <c r="H60" i="9"/>
  <c r="D60" i="9"/>
  <c r="C60" i="9"/>
  <c r="B60" i="9"/>
  <c r="N59" i="9"/>
  <c r="N60" i="9" s="1"/>
  <c r="M59" i="9"/>
  <c r="M60" i="9" s="1"/>
  <c r="L59" i="9"/>
  <c r="K59" i="9"/>
  <c r="J59" i="9"/>
  <c r="I59" i="9"/>
  <c r="H59" i="9"/>
  <c r="G59" i="9"/>
  <c r="G60" i="9" s="1"/>
  <c r="F59" i="9"/>
  <c r="F60" i="9" s="1"/>
  <c r="E59" i="9"/>
  <c r="E60" i="9" s="1"/>
  <c r="D59" i="9"/>
  <c r="C59" i="9"/>
  <c r="B59" i="9"/>
  <c r="N58" i="9"/>
  <c r="B54" i="9"/>
  <c r="B55" i="9" s="1"/>
  <c r="B61" i="9" s="1"/>
  <c r="M53" i="9"/>
  <c r="L53" i="9"/>
  <c r="K53" i="9"/>
  <c r="K54" i="9" s="1"/>
  <c r="K55" i="9" s="1"/>
  <c r="K61" i="9" s="1"/>
  <c r="J53" i="9"/>
  <c r="J54" i="9" s="1"/>
  <c r="J55" i="9" s="1"/>
  <c r="J61" i="9" s="1"/>
  <c r="I53" i="9"/>
  <c r="I54" i="9" s="1"/>
  <c r="I55" i="9" s="1"/>
  <c r="I61" i="9" s="1"/>
  <c r="H53" i="9"/>
  <c r="H54" i="9" s="1"/>
  <c r="H55" i="9" s="1"/>
  <c r="H61" i="9" s="1"/>
  <c r="G53" i="9"/>
  <c r="F53" i="9"/>
  <c r="E53" i="9"/>
  <c r="D53" i="9"/>
  <c r="C53" i="9"/>
  <c r="C54" i="9" s="1"/>
  <c r="C55" i="9" s="1"/>
  <c r="C61" i="9" s="1"/>
  <c r="B53" i="9"/>
  <c r="N52" i="9"/>
  <c r="N51" i="9"/>
  <c r="N50" i="9"/>
  <c r="N49" i="9"/>
  <c r="N48" i="9"/>
  <c r="K46" i="9"/>
  <c r="J46" i="9"/>
  <c r="I46" i="9"/>
  <c r="H46" i="9"/>
  <c r="G46" i="9"/>
  <c r="G54" i="9" s="1"/>
  <c r="G55" i="9" s="1"/>
  <c r="C46" i="9"/>
  <c r="B46" i="9"/>
  <c r="M45" i="9"/>
  <c r="M46" i="9" s="1"/>
  <c r="M54" i="9" s="1"/>
  <c r="M55" i="9" s="1"/>
  <c r="L45" i="9"/>
  <c r="L46" i="9" s="1"/>
  <c r="L54" i="9" s="1"/>
  <c r="L55" i="9" s="1"/>
  <c r="L61" i="9" s="1"/>
  <c r="K45" i="9"/>
  <c r="J45" i="9"/>
  <c r="I45" i="9"/>
  <c r="H45" i="9"/>
  <c r="G45" i="9"/>
  <c r="F45" i="9"/>
  <c r="F46" i="9" s="1"/>
  <c r="F54" i="9" s="1"/>
  <c r="F55" i="9" s="1"/>
  <c r="E45" i="9"/>
  <c r="E46" i="9" s="1"/>
  <c r="E54" i="9" s="1"/>
  <c r="E55" i="9" s="1"/>
  <c r="D45" i="9"/>
  <c r="D46" i="9" s="1"/>
  <c r="D54" i="9" s="1"/>
  <c r="D55" i="9" s="1"/>
  <c r="D61" i="9" s="1"/>
  <c r="C45" i="9"/>
  <c r="B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8" i="9"/>
  <c r="M8" i="9"/>
  <c r="L8" i="9"/>
  <c r="K8" i="9"/>
  <c r="J8" i="9"/>
  <c r="I8" i="9"/>
  <c r="H8" i="9"/>
  <c r="G8" i="9"/>
  <c r="F8" i="9"/>
  <c r="E8" i="9"/>
  <c r="D8" i="9"/>
  <c r="C8" i="9"/>
  <c r="B8" i="9"/>
  <c r="N45" i="9" l="1"/>
  <c r="N46" i="9" s="1"/>
  <c r="N54" i="9" s="1"/>
  <c r="N55" i="9" s="1"/>
  <c r="N61" i="9" s="1"/>
  <c r="N53" i="9"/>
  <c r="E61" i="9"/>
  <c r="F61" i="9"/>
  <c r="M61" i="9"/>
  <c r="G61" i="9"/>
  <c r="M29" i="34" l="1"/>
  <c r="L29" i="34"/>
  <c r="K29" i="34"/>
  <c r="E29" i="34"/>
  <c r="D29" i="34"/>
  <c r="C29" i="34"/>
  <c r="M28" i="34"/>
  <c r="L28" i="34"/>
  <c r="K28" i="34"/>
  <c r="J28" i="34"/>
  <c r="J29" i="34" s="1"/>
  <c r="I28" i="34"/>
  <c r="I29" i="34" s="1"/>
  <c r="H28" i="34"/>
  <c r="H29" i="34" s="1"/>
  <c r="G28" i="34"/>
  <c r="G29" i="34" s="1"/>
  <c r="F28" i="34"/>
  <c r="F29" i="34" s="1"/>
  <c r="E28" i="34"/>
  <c r="D28" i="34"/>
  <c r="C28" i="34"/>
  <c r="B28" i="34"/>
  <c r="B29" i="34" s="1"/>
  <c r="N27" i="34"/>
  <c r="N28" i="34" s="1"/>
  <c r="N29" i="34" s="1"/>
  <c r="M23" i="34"/>
  <c r="L23" i="34"/>
  <c r="L24" i="34" s="1"/>
  <c r="L30" i="34" s="1"/>
  <c r="K23" i="34"/>
  <c r="E23" i="34"/>
  <c r="D23" i="34"/>
  <c r="D24" i="34" s="1"/>
  <c r="D30" i="34" s="1"/>
  <c r="C23" i="34"/>
  <c r="M22" i="34"/>
  <c r="L22" i="34"/>
  <c r="K22" i="34"/>
  <c r="J22" i="34"/>
  <c r="J23" i="34" s="1"/>
  <c r="I22" i="34"/>
  <c r="I23" i="34" s="1"/>
  <c r="H22" i="34"/>
  <c r="H23" i="34" s="1"/>
  <c r="G22" i="34"/>
  <c r="G23" i="34" s="1"/>
  <c r="G24" i="34" s="1"/>
  <c r="G30" i="34" s="1"/>
  <c r="F22" i="34"/>
  <c r="F23" i="34" s="1"/>
  <c r="F24" i="34" s="1"/>
  <c r="F30" i="34" s="1"/>
  <c r="E22" i="34"/>
  <c r="D22" i="34"/>
  <c r="C22" i="34"/>
  <c r="B22" i="34"/>
  <c r="B23" i="34" s="1"/>
  <c r="N21" i="34"/>
  <c r="N20" i="34"/>
  <c r="N19" i="34"/>
  <c r="N18" i="34"/>
  <c r="N17" i="34"/>
  <c r="N16" i="34"/>
  <c r="N15" i="34"/>
  <c r="N14" i="34"/>
  <c r="N13" i="34"/>
  <c r="N12" i="34"/>
  <c r="N22" i="34" s="1"/>
  <c r="N23" i="34" s="1"/>
  <c r="N24" i="34" s="1"/>
  <c r="N30" i="34" s="1"/>
  <c r="N11" i="34"/>
  <c r="N8" i="34"/>
  <c r="M8" i="34"/>
  <c r="M24" i="34" s="1"/>
  <c r="M30" i="34" s="1"/>
  <c r="L8" i="34"/>
  <c r="K8" i="34"/>
  <c r="K24" i="34" s="1"/>
  <c r="K30" i="34" s="1"/>
  <c r="J8" i="34"/>
  <c r="J24" i="34" s="1"/>
  <c r="J30" i="34" s="1"/>
  <c r="I8" i="34"/>
  <c r="I24" i="34" s="1"/>
  <c r="I30" i="34" s="1"/>
  <c r="H8" i="34"/>
  <c r="H24" i="34" s="1"/>
  <c r="H30" i="34" s="1"/>
  <c r="G8" i="34"/>
  <c r="F8" i="34"/>
  <c r="E8" i="34"/>
  <c r="E24" i="34" s="1"/>
  <c r="E30" i="34" s="1"/>
  <c r="D8" i="34"/>
  <c r="C8" i="34"/>
  <c r="C24" i="34" s="1"/>
  <c r="C30" i="34" s="1"/>
  <c r="B8" i="34"/>
  <c r="B24" i="34" s="1"/>
  <c r="B30" i="34" s="1"/>
  <c r="L24" i="11" l="1"/>
  <c r="J24" i="11"/>
  <c r="D24" i="11"/>
  <c r="B24" i="11"/>
  <c r="M23" i="11"/>
  <c r="M24" i="11" s="1"/>
  <c r="L23" i="11"/>
  <c r="K23" i="11"/>
  <c r="K24" i="11" s="1"/>
  <c r="J23" i="11"/>
  <c r="I23" i="11"/>
  <c r="I24" i="11" s="1"/>
  <c r="H23" i="11"/>
  <c r="H24" i="11" s="1"/>
  <c r="G23" i="11"/>
  <c r="G24" i="11" s="1"/>
  <c r="F23" i="11"/>
  <c r="F24" i="11" s="1"/>
  <c r="E23" i="11"/>
  <c r="E24" i="11" s="1"/>
  <c r="D23" i="11"/>
  <c r="C23" i="11"/>
  <c r="C24" i="11" s="1"/>
  <c r="B23" i="11"/>
  <c r="N22" i="11"/>
  <c r="N23" i="11" s="1"/>
  <c r="N24" i="11" s="1"/>
  <c r="L19" i="11"/>
  <c r="L25" i="11" s="1"/>
  <c r="D19" i="11"/>
  <c r="D25" i="11" s="1"/>
  <c r="L18" i="11"/>
  <c r="J18" i="11"/>
  <c r="I18" i="11"/>
  <c r="D18" i="11"/>
  <c r="B18" i="11"/>
  <c r="M17" i="11"/>
  <c r="M18" i="11" s="1"/>
  <c r="M19" i="11" s="1"/>
  <c r="M25" i="11" s="1"/>
  <c r="L17" i="11"/>
  <c r="K17" i="11"/>
  <c r="K18" i="11" s="1"/>
  <c r="J17" i="11"/>
  <c r="I17" i="11"/>
  <c r="H17" i="11"/>
  <c r="H18" i="11" s="1"/>
  <c r="G17" i="11"/>
  <c r="G18" i="11" s="1"/>
  <c r="G19" i="11" s="1"/>
  <c r="F17" i="11"/>
  <c r="F18" i="11" s="1"/>
  <c r="E17" i="11"/>
  <c r="E18" i="11" s="1"/>
  <c r="E19" i="11" s="1"/>
  <c r="E25" i="11" s="1"/>
  <c r="D17" i="11"/>
  <c r="C17" i="11"/>
  <c r="C18" i="11" s="1"/>
  <c r="B17" i="11"/>
  <c r="N16" i="11"/>
  <c r="N15" i="11"/>
  <c r="N14" i="11"/>
  <c r="N13" i="11"/>
  <c r="N17" i="11" s="1"/>
  <c r="N18" i="11" s="1"/>
  <c r="N12" i="11"/>
  <c r="N11" i="11"/>
  <c r="N8" i="11"/>
  <c r="M8" i="11"/>
  <c r="L8" i="11"/>
  <c r="K8" i="11"/>
  <c r="J8" i="11"/>
  <c r="J19" i="11" s="1"/>
  <c r="J25" i="11" s="1"/>
  <c r="I8" i="11"/>
  <c r="I19" i="11" s="1"/>
  <c r="H8" i="11"/>
  <c r="H19" i="11" s="1"/>
  <c r="H25" i="11" s="1"/>
  <c r="G8" i="11"/>
  <c r="F8" i="11"/>
  <c r="F19" i="11" s="1"/>
  <c r="F25" i="11" s="1"/>
  <c r="E8" i="11"/>
  <c r="D8" i="11"/>
  <c r="C8" i="11"/>
  <c r="B8" i="11"/>
  <c r="B19" i="11" s="1"/>
  <c r="B25" i="11" s="1"/>
  <c r="I25" i="11" l="1"/>
  <c r="G25" i="11"/>
  <c r="K19" i="11"/>
  <c r="K25" i="11" s="1"/>
  <c r="C19" i="11"/>
  <c r="C25" i="11" s="1"/>
  <c r="N19" i="11"/>
  <c r="N25" i="11" s="1"/>
  <c r="I22" i="24" l="1"/>
  <c r="I23" i="24" s="1"/>
  <c r="I24" i="24" s="1"/>
  <c r="G22" i="24"/>
  <c r="M21" i="24"/>
  <c r="M22" i="24" s="1"/>
  <c r="L21" i="24"/>
  <c r="L22" i="24" s="1"/>
  <c r="L23" i="24" s="1"/>
  <c r="L24" i="24" s="1"/>
  <c r="K21" i="24"/>
  <c r="K22" i="24" s="1"/>
  <c r="J21" i="24"/>
  <c r="J22" i="24" s="1"/>
  <c r="I21" i="24"/>
  <c r="H21" i="24"/>
  <c r="H22" i="24" s="1"/>
  <c r="G21" i="24"/>
  <c r="F21" i="24"/>
  <c r="F22" i="24" s="1"/>
  <c r="E21" i="24"/>
  <c r="E22" i="24" s="1"/>
  <c r="D21" i="24"/>
  <c r="D22" i="24" s="1"/>
  <c r="D23" i="24" s="1"/>
  <c r="D24" i="24" s="1"/>
  <c r="C21" i="24"/>
  <c r="C22" i="24" s="1"/>
  <c r="B21" i="24"/>
  <c r="B22" i="24" s="1"/>
  <c r="N20" i="24"/>
  <c r="N19" i="24"/>
  <c r="N18" i="24"/>
  <c r="N17" i="24"/>
  <c r="N16" i="24"/>
  <c r="N15" i="24"/>
  <c r="N14" i="24"/>
  <c r="N21" i="24" s="1"/>
  <c r="N22" i="24" s="1"/>
  <c r="N13" i="24"/>
  <c r="N12" i="24"/>
  <c r="N11" i="24"/>
  <c r="N8" i="24"/>
  <c r="M8" i="24"/>
  <c r="L8" i="24"/>
  <c r="K8" i="24"/>
  <c r="J8" i="24"/>
  <c r="J23" i="24" s="1"/>
  <c r="J24" i="24" s="1"/>
  <c r="I8" i="24"/>
  <c r="H8" i="24"/>
  <c r="G8" i="24"/>
  <c r="G23" i="24" s="1"/>
  <c r="G24" i="24" s="1"/>
  <c r="F8" i="24"/>
  <c r="E8" i="24"/>
  <c r="D8" i="24"/>
  <c r="C8" i="24"/>
  <c r="B8" i="24"/>
  <c r="B23" i="24" s="1"/>
  <c r="B24" i="24" s="1"/>
  <c r="M23" i="24" l="1"/>
  <c r="M24" i="24" s="1"/>
  <c r="H23" i="24"/>
  <c r="H24" i="24" s="1"/>
  <c r="E23" i="24"/>
  <c r="E24" i="24" s="1"/>
  <c r="F23" i="24"/>
  <c r="F24" i="24" s="1"/>
  <c r="N23" i="24"/>
  <c r="N24" i="24" s="1"/>
  <c r="C23" i="24"/>
  <c r="C24" i="24" s="1"/>
  <c r="K23" i="24"/>
  <c r="K24" i="24" s="1"/>
  <c r="L27" i="18" l="1"/>
  <c r="J27" i="18"/>
  <c r="F27" i="18"/>
  <c r="D27" i="18"/>
  <c r="B27" i="18"/>
  <c r="M26" i="18"/>
  <c r="M27" i="18" s="1"/>
  <c r="L26" i="18"/>
  <c r="K26" i="18"/>
  <c r="K27" i="18" s="1"/>
  <c r="J26" i="18"/>
  <c r="I26" i="18"/>
  <c r="I27" i="18" s="1"/>
  <c r="H26" i="18"/>
  <c r="H27" i="18" s="1"/>
  <c r="G26" i="18"/>
  <c r="G27" i="18" s="1"/>
  <c r="F26" i="18"/>
  <c r="E26" i="18"/>
  <c r="E27" i="18" s="1"/>
  <c r="D26" i="18"/>
  <c r="C26" i="18"/>
  <c r="C27" i="18" s="1"/>
  <c r="B26" i="18"/>
  <c r="N25" i="18"/>
  <c r="N26" i="18" s="1"/>
  <c r="N27" i="18" s="1"/>
  <c r="L21" i="18"/>
  <c r="J21" i="18"/>
  <c r="F21" i="18"/>
  <c r="D21" i="18"/>
  <c r="B21" i="18"/>
  <c r="M20" i="18"/>
  <c r="M21" i="18" s="1"/>
  <c r="M22" i="18" s="1"/>
  <c r="L20" i="18"/>
  <c r="K20" i="18"/>
  <c r="K21" i="18" s="1"/>
  <c r="J20" i="18"/>
  <c r="I20" i="18"/>
  <c r="I21" i="18" s="1"/>
  <c r="I22" i="18" s="1"/>
  <c r="I28" i="18" s="1"/>
  <c r="H20" i="18"/>
  <c r="H21" i="18" s="1"/>
  <c r="G20" i="18"/>
  <c r="G21" i="18" s="1"/>
  <c r="G22" i="18" s="1"/>
  <c r="F20" i="18"/>
  <c r="E20" i="18"/>
  <c r="E21" i="18" s="1"/>
  <c r="E22" i="18" s="1"/>
  <c r="E28" i="18" s="1"/>
  <c r="D20" i="18"/>
  <c r="C20" i="18"/>
  <c r="C21" i="18" s="1"/>
  <c r="B20" i="18"/>
  <c r="N19" i="18"/>
  <c r="N18" i="18"/>
  <c r="N17" i="18"/>
  <c r="N16" i="18"/>
  <c r="N15" i="18"/>
  <c r="N14" i="18"/>
  <c r="N13" i="18"/>
  <c r="N12" i="18"/>
  <c r="N20" i="18" s="1"/>
  <c r="N21" i="18" s="1"/>
  <c r="N8" i="18"/>
  <c r="N22" i="18" s="1"/>
  <c r="N28" i="18" s="1"/>
  <c r="M8" i="18"/>
  <c r="L8" i="18"/>
  <c r="L22" i="18" s="1"/>
  <c r="L28" i="18" s="1"/>
  <c r="K8" i="18"/>
  <c r="J8" i="18"/>
  <c r="J22" i="18" s="1"/>
  <c r="J28" i="18" s="1"/>
  <c r="I8" i="18"/>
  <c r="H8" i="18"/>
  <c r="H22" i="18" s="1"/>
  <c r="H28" i="18" s="1"/>
  <c r="G8" i="18"/>
  <c r="F8" i="18"/>
  <c r="F22" i="18" s="1"/>
  <c r="F28" i="18" s="1"/>
  <c r="E8" i="18"/>
  <c r="D8" i="18"/>
  <c r="D22" i="18" s="1"/>
  <c r="D28" i="18" s="1"/>
  <c r="C8" i="18"/>
  <c r="B8" i="18"/>
  <c r="B22" i="18" s="1"/>
  <c r="B28" i="18" s="1"/>
  <c r="M28" i="18" l="1"/>
  <c r="C22" i="18"/>
  <c r="C28" i="18" s="1"/>
  <c r="K22" i="18"/>
  <c r="K28" i="18" s="1"/>
  <c r="G28" i="18"/>
  <c r="F24" i="21" l="1"/>
  <c r="F25" i="21" s="1"/>
  <c r="M22" i="21"/>
  <c r="L22" i="21"/>
  <c r="K22" i="21"/>
  <c r="J22" i="21"/>
  <c r="I22" i="21"/>
  <c r="H22" i="21"/>
  <c r="G22" i="21"/>
  <c r="G24" i="21" s="1"/>
  <c r="G25" i="21" s="1"/>
  <c r="F22" i="21"/>
  <c r="E22" i="21"/>
  <c r="D22" i="21"/>
  <c r="C22" i="21"/>
  <c r="B22" i="21"/>
  <c r="B23" i="21" s="1"/>
  <c r="N21" i="21"/>
  <c r="N20" i="21"/>
  <c r="N19" i="21"/>
  <c r="N18" i="21"/>
  <c r="N17" i="21"/>
  <c r="N16" i="21"/>
  <c r="N15" i="21"/>
  <c r="N14" i="21"/>
  <c r="N13" i="21"/>
  <c r="N12" i="21"/>
  <c r="N11" i="21"/>
  <c r="N8" i="21"/>
  <c r="M8" i="21"/>
  <c r="M24" i="21" s="1"/>
  <c r="M25" i="21" s="1"/>
  <c r="L8" i="21"/>
  <c r="L24" i="21" s="1"/>
  <c r="L25" i="21" s="1"/>
  <c r="K8" i="21"/>
  <c r="K24" i="21" s="1"/>
  <c r="K25" i="21" s="1"/>
  <c r="J8" i="21"/>
  <c r="J24" i="21" s="1"/>
  <c r="J25" i="21" s="1"/>
  <c r="I8" i="21"/>
  <c r="H8" i="21"/>
  <c r="H24" i="21" s="1"/>
  <c r="H25" i="21" s="1"/>
  <c r="G8" i="21"/>
  <c r="F8" i="21"/>
  <c r="E8" i="21"/>
  <c r="E24" i="21" s="1"/>
  <c r="E25" i="21" s="1"/>
  <c r="D8" i="21"/>
  <c r="D24" i="21" s="1"/>
  <c r="D25" i="21" s="1"/>
  <c r="C8" i="21"/>
  <c r="C24" i="21" s="1"/>
  <c r="C25" i="21" s="1"/>
  <c r="B8" i="21"/>
  <c r="B24" i="21" s="1"/>
  <c r="I24" i="21" l="1"/>
  <c r="I25" i="21" s="1"/>
  <c r="B25" i="21"/>
  <c r="N22" i="21"/>
  <c r="N25" i="21" l="1"/>
  <c r="N24" i="21"/>
  <c r="F67" i="1" l="1"/>
  <c r="E67" i="1"/>
  <c r="F59" i="1"/>
  <c r="E59" i="1"/>
  <c r="F21" i="1"/>
  <c r="E21" i="1"/>
  <c r="N37" i="3"/>
  <c r="E61" i="1" l="1"/>
  <c r="E69" i="1" s="1"/>
  <c r="F61" i="1"/>
  <c r="F69" i="1" s="1"/>
  <c r="H67" i="1"/>
  <c r="H59" i="1"/>
  <c r="H21" i="1"/>
  <c r="H61" i="1" l="1"/>
  <c r="H69" i="1" s="1"/>
  <c r="J20" i="1"/>
  <c r="J42" i="1"/>
  <c r="J24" i="1"/>
  <c r="J67" i="1" l="1"/>
  <c r="J59" i="1"/>
  <c r="J21" i="1"/>
  <c r="J61" i="1" l="1"/>
  <c r="J69" i="1" s="1"/>
  <c r="M38" i="35" l="1"/>
  <c r="M39" i="35" s="1"/>
  <c r="L38" i="35"/>
  <c r="L39" i="35" s="1"/>
  <c r="K38" i="35"/>
  <c r="K39" i="35" s="1"/>
  <c r="J38" i="35"/>
  <c r="J39" i="35" s="1"/>
  <c r="I38" i="35"/>
  <c r="I39" i="35" s="1"/>
  <c r="H38" i="35"/>
  <c r="H39" i="35" s="1"/>
  <c r="G38" i="35"/>
  <c r="G39" i="35" s="1"/>
  <c r="F38" i="35"/>
  <c r="F39" i="35" s="1"/>
  <c r="E38" i="35"/>
  <c r="E39" i="35" s="1"/>
  <c r="D38" i="35"/>
  <c r="D39" i="35" s="1"/>
  <c r="C38" i="35"/>
  <c r="C39" i="35" s="1"/>
  <c r="B38" i="35"/>
  <c r="B39" i="35" s="1"/>
  <c r="N37" i="35"/>
  <c r="M31" i="35"/>
  <c r="L31" i="35"/>
  <c r="K31" i="35"/>
  <c r="J31" i="35"/>
  <c r="I31" i="35"/>
  <c r="H31" i="35"/>
  <c r="G31" i="35"/>
  <c r="F31" i="35"/>
  <c r="E31" i="35"/>
  <c r="D31" i="35"/>
  <c r="C31" i="35"/>
  <c r="B31" i="35"/>
  <c r="N30" i="35"/>
  <c r="N29" i="35"/>
  <c r="N28" i="35"/>
  <c r="N27" i="35"/>
  <c r="N26" i="35"/>
  <c r="M24" i="35"/>
  <c r="L24" i="35"/>
  <c r="L32" i="35" s="1"/>
  <c r="L33" i="35" s="1"/>
  <c r="K24" i="35"/>
  <c r="J24" i="35"/>
  <c r="J32" i="35" s="1"/>
  <c r="J33" i="35" s="1"/>
  <c r="J40" i="35" s="1"/>
  <c r="I24" i="35"/>
  <c r="H24" i="35"/>
  <c r="G24" i="35"/>
  <c r="F24" i="35"/>
  <c r="E24" i="35"/>
  <c r="D24" i="35"/>
  <c r="C24" i="35"/>
  <c r="B24" i="35"/>
  <c r="B32" i="35" s="1"/>
  <c r="B33" i="35" s="1"/>
  <c r="B40" i="35" s="1"/>
  <c r="N23" i="35"/>
  <c r="N22" i="35"/>
  <c r="N18" i="35"/>
  <c r="N17" i="35"/>
  <c r="N16" i="35"/>
  <c r="N15" i="35"/>
  <c r="N14" i="35"/>
  <c r="N13" i="35"/>
  <c r="N12" i="35"/>
  <c r="N11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N38" i="35" l="1"/>
  <c r="N39" i="35" s="1"/>
  <c r="G32" i="35"/>
  <c r="G33" i="35" s="1"/>
  <c r="G40" i="35" s="1"/>
  <c r="F32" i="35"/>
  <c r="F33" i="35" s="1"/>
  <c r="E32" i="35"/>
  <c r="E33" i="35" s="1"/>
  <c r="E40" i="35" s="1"/>
  <c r="M32" i="35"/>
  <c r="M33" i="35" s="1"/>
  <c r="M40" i="35" s="1"/>
  <c r="D32" i="35"/>
  <c r="D33" i="35" s="1"/>
  <c r="D40" i="35" s="1"/>
  <c r="N24" i="35"/>
  <c r="F40" i="35"/>
  <c r="L40" i="35"/>
  <c r="C32" i="35"/>
  <c r="C33" i="35" s="1"/>
  <c r="C40" i="35" s="1"/>
  <c r="K32" i="35"/>
  <c r="K33" i="35" s="1"/>
  <c r="K40" i="35" s="1"/>
  <c r="I32" i="35"/>
  <c r="I33" i="35" s="1"/>
  <c r="I40" i="35" s="1"/>
  <c r="H32" i="35"/>
  <c r="H33" i="35" s="1"/>
  <c r="H40" i="35" s="1"/>
  <c r="N31" i="35"/>
  <c r="N32" i="35" l="1"/>
  <c r="N33" i="35" s="1"/>
  <c r="N40" i="35" s="1"/>
  <c r="M36" i="13"/>
  <c r="M26" i="10" s="1"/>
  <c r="L36" i="13"/>
  <c r="L26" i="10" s="1"/>
  <c r="K36" i="13"/>
  <c r="K26" i="10" s="1"/>
  <c r="J36" i="13"/>
  <c r="J26" i="10" s="1"/>
  <c r="I36" i="13"/>
  <c r="I26" i="10" s="1"/>
  <c r="H36" i="13"/>
  <c r="H26" i="10" s="1"/>
  <c r="G36" i="13"/>
  <c r="G26" i="10" s="1"/>
  <c r="F36" i="13"/>
  <c r="F26" i="10" s="1"/>
  <c r="E36" i="13"/>
  <c r="E26" i="10" s="1"/>
  <c r="D36" i="13"/>
  <c r="D26" i="10" s="1"/>
  <c r="C36" i="13"/>
  <c r="C26" i="10" s="1"/>
  <c r="M35" i="13"/>
  <c r="M25" i="10" s="1"/>
  <c r="L35" i="13"/>
  <c r="L25" i="10" s="1"/>
  <c r="K35" i="13"/>
  <c r="K25" i="10" s="1"/>
  <c r="J35" i="13"/>
  <c r="J25" i="10" s="1"/>
  <c r="I35" i="13"/>
  <c r="I25" i="10" s="1"/>
  <c r="H35" i="13"/>
  <c r="H25" i="10" s="1"/>
  <c r="G35" i="13"/>
  <c r="G25" i="10" s="1"/>
  <c r="F35" i="13"/>
  <c r="F25" i="10" s="1"/>
  <c r="E35" i="13"/>
  <c r="E25" i="10" s="1"/>
  <c r="D35" i="13"/>
  <c r="D25" i="10" s="1"/>
  <c r="C35" i="13"/>
  <c r="C25" i="10" s="1"/>
  <c r="M34" i="13"/>
  <c r="M24" i="10" s="1"/>
  <c r="L34" i="13"/>
  <c r="L24" i="10" s="1"/>
  <c r="K34" i="13"/>
  <c r="K24" i="10" s="1"/>
  <c r="J34" i="13"/>
  <c r="J24" i="10" s="1"/>
  <c r="I34" i="13"/>
  <c r="I24" i="10" s="1"/>
  <c r="H34" i="13"/>
  <c r="H24" i="10" s="1"/>
  <c r="G34" i="13"/>
  <c r="G24" i="10" s="1"/>
  <c r="F34" i="13"/>
  <c r="F24" i="10" s="1"/>
  <c r="E34" i="13"/>
  <c r="E24" i="10" s="1"/>
  <c r="D34" i="13"/>
  <c r="D24" i="10" s="1"/>
  <c r="C34" i="13"/>
  <c r="C24" i="10" s="1"/>
  <c r="M33" i="13"/>
  <c r="M22" i="10" s="1"/>
  <c r="L33" i="13"/>
  <c r="L22" i="10" s="1"/>
  <c r="K33" i="13"/>
  <c r="K22" i="10" s="1"/>
  <c r="J33" i="13"/>
  <c r="J22" i="10" s="1"/>
  <c r="J27" i="10" s="1"/>
  <c r="J28" i="10" s="1"/>
  <c r="J29" i="10" s="1"/>
  <c r="J30" i="10" s="1"/>
  <c r="I33" i="13"/>
  <c r="I22" i="10" s="1"/>
  <c r="H33" i="13"/>
  <c r="H22" i="10" s="1"/>
  <c r="G33" i="13"/>
  <c r="G22" i="10" s="1"/>
  <c r="G27" i="10" s="1"/>
  <c r="G28" i="10" s="1"/>
  <c r="G29" i="10" s="1"/>
  <c r="G30" i="10" s="1"/>
  <c r="F33" i="13"/>
  <c r="F22" i="10" s="1"/>
  <c r="F27" i="10" s="1"/>
  <c r="F28" i="10" s="1"/>
  <c r="F29" i="10" s="1"/>
  <c r="F30" i="10" s="1"/>
  <c r="E33" i="13"/>
  <c r="E22" i="10" s="1"/>
  <c r="D33" i="13"/>
  <c r="D22" i="10" s="1"/>
  <c r="D27" i="10" s="1"/>
  <c r="D28" i="10" s="1"/>
  <c r="D29" i="10" s="1"/>
  <c r="D30" i="10" s="1"/>
  <c r="C33" i="13"/>
  <c r="C22" i="10" s="1"/>
  <c r="C27" i="10" s="1"/>
  <c r="C28" i="10" s="1"/>
  <c r="C29" i="10" s="1"/>
  <c r="C30" i="10" s="1"/>
  <c r="B36" i="13"/>
  <c r="B26" i="10" s="1"/>
  <c r="B35" i="13"/>
  <c r="B25" i="10" s="1"/>
  <c r="B34" i="13"/>
  <c r="B24" i="10" s="1"/>
  <c r="B33" i="13"/>
  <c r="B22" i="10" s="1"/>
  <c r="N24" i="10" l="1"/>
  <c r="H27" i="10"/>
  <c r="H28" i="10" s="1"/>
  <c r="H29" i="10" s="1"/>
  <c r="H30" i="10" s="1"/>
  <c r="N22" i="10"/>
  <c r="B27" i="10"/>
  <c r="B28" i="10" s="1"/>
  <c r="B29" i="10" s="1"/>
  <c r="B30" i="10" s="1"/>
  <c r="N25" i="10"/>
  <c r="I27" i="10"/>
  <c r="I28" i="10" s="1"/>
  <c r="I29" i="10" s="1"/>
  <c r="I30" i="10" s="1"/>
  <c r="N26" i="10"/>
  <c r="K27" i="10"/>
  <c r="K28" i="10" s="1"/>
  <c r="K29" i="10" s="1"/>
  <c r="K30" i="10" s="1"/>
  <c r="L27" i="10"/>
  <c r="L28" i="10" s="1"/>
  <c r="L29" i="10" s="1"/>
  <c r="L30" i="10" s="1"/>
  <c r="E27" i="10"/>
  <c r="E28" i="10" s="1"/>
  <c r="E29" i="10" s="1"/>
  <c r="E30" i="10" s="1"/>
  <c r="M27" i="10"/>
  <c r="M28" i="10" s="1"/>
  <c r="M29" i="10" s="1"/>
  <c r="M30" i="10" s="1"/>
  <c r="G67" i="1"/>
  <c r="G59" i="1"/>
  <c r="G21" i="1"/>
  <c r="N27" i="10" l="1"/>
  <c r="N28" i="10" s="1"/>
  <c r="N29" i="10" s="1"/>
  <c r="N30" i="10" s="1"/>
  <c r="G61" i="1"/>
  <c r="G69" i="1" s="1"/>
  <c r="M44" i="13"/>
  <c r="M45" i="13" s="1"/>
  <c r="L44" i="13"/>
  <c r="L45" i="13" s="1"/>
  <c r="K44" i="13"/>
  <c r="K45" i="13" s="1"/>
  <c r="J44" i="13"/>
  <c r="J45" i="13" s="1"/>
  <c r="I44" i="13"/>
  <c r="I45" i="13" s="1"/>
  <c r="H44" i="13"/>
  <c r="H45" i="13" s="1"/>
  <c r="G44" i="13"/>
  <c r="G45" i="13" s="1"/>
  <c r="F44" i="13"/>
  <c r="F45" i="13" s="1"/>
  <c r="E44" i="13"/>
  <c r="E45" i="13" s="1"/>
  <c r="D44" i="13"/>
  <c r="D45" i="13" s="1"/>
  <c r="C44" i="13"/>
  <c r="C45" i="13" s="1"/>
  <c r="B44" i="13"/>
  <c r="B45" i="13" s="1"/>
  <c r="N43" i="13"/>
  <c r="N42" i="13"/>
  <c r="N44" i="13" s="1"/>
  <c r="N45" i="13" s="1"/>
  <c r="M37" i="13"/>
  <c r="L37" i="13"/>
  <c r="K37" i="13"/>
  <c r="J37" i="13"/>
  <c r="I37" i="13"/>
  <c r="H37" i="13"/>
  <c r="G37" i="13"/>
  <c r="F37" i="13"/>
  <c r="E37" i="13"/>
  <c r="D37" i="13"/>
  <c r="C37" i="13"/>
  <c r="B37" i="13"/>
  <c r="N36" i="13"/>
  <c r="N35" i="13"/>
  <c r="N34" i="13"/>
  <c r="N33" i="13"/>
  <c r="M31" i="13"/>
  <c r="M38" i="13" s="1"/>
  <c r="L31" i="13"/>
  <c r="L38" i="13" s="1"/>
  <c r="K31" i="13"/>
  <c r="K38" i="13" s="1"/>
  <c r="J31" i="13"/>
  <c r="J38" i="13" s="1"/>
  <c r="I31" i="13"/>
  <c r="I38" i="13" s="1"/>
  <c r="H31" i="13"/>
  <c r="G31" i="13"/>
  <c r="G38" i="13" s="1"/>
  <c r="F31" i="13"/>
  <c r="F38" i="13" s="1"/>
  <c r="E31" i="13"/>
  <c r="E38" i="13" s="1"/>
  <c r="E39" i="13" s="1"/>
  <c r="E46" i="13" s="1"/>
  <c r="D31" i="13"/>
  <c r="C31" i="13"/>
  <c r="C38" i="13" s="1"/>
  <c r="C39" i="13" s="1"/>
  <c r="B31" i="13"/>
  <c r="N30" i="13"/>
  <c r="N29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K39" i="13" l="1"/>
  <c r="L39" i="13"/>
  <c r="L46" i="13" s="1"/>
  <c r="M39" i="13"/>
  <c r="M46" i="13" s="1"/>
  <c r="H38" i="13"/>
  <c r="D38" i="13"/>
  <c r="D39" i="13" s="1"/>
  <c r="D46" i="13" s="1"/>
  <c r="B38" i="13"/>
  <c r="B39" i="13" s="1"/>
  <c r="B46" i="13" s="1"/>
  <c r="N37" i="13"/>
  <c r="H39" i="13"/>
  <c r="H46" i="13" s="1"/>
  <c r="I39" i="13"/>
  <c r="I46" i="13" s="1"/>
  <c r="J39" i="13"/>
  <c r="J46" i="13" s="1"/>
  <c r="N31" i="13"/>
  <c r="G39" i="13"/>
  <c r="G46" i="13" s="1"/>
  <c r="F39" i="13"/>
  <c r="F46" i="13" s="1"/>
  <c r="C46" i="13"/>
  <c r="K46" i="13"/>
  <c r="N38" i="13" l="1"/>
  <c r="N39" i="13" s="1"/>
  <c r="N46" i="13" s="1"/>
  <c r="D23" i="1"/>
  <c r="L59" i="1" l="1"/>
  <c r="N12" i="31" l="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15" i="3" l="1"/>
  <c r="N12" i="3"/>
  <c r="I67" i="1"/>
  <c r="I59" i="1"/>
  <c r="I21" i="1"/>
  <c r="I61" i="1" l="1"/>
  <c r="I69" i="1" s="1"/>
  <c r="O19" i="2" l="1"/>
  <c r="P18" i="2"/>
  <c r="P30" i="2" l="1"/>
  <c r="P31" i="2" s="1"/>
  <c r="O30" i="2"/>
  <c r="O31" i="2" s="1"/>
  <c r="O25" i="2"/>
  <c r="O22" i="2"/>
  <c r="P22" i="2"/>
  <c r="P8" i="2"/>
  <c r="O8" i="2"/>
  <c r="O26" i="2" l="1"/>
  <c r="D29" i="1" l="1"/>
  <c r="D30" i="1" l="1"/>
  <c r="D53" i="1" l="1"/>
  <c r="N19" i="32"/>
  <c r="N23" i="30"/>
  <c r="D17" i="1" l="1"/>
  <c r="N16" i="4" l="1"/>
  <c r="L21" i="1" l="1"/>
  <c r="L67" i="1"/>
  <c r="N24" i="2" l="1"/>
  <c r="L61" i="1"/>
  <c r="L69" i="1" s="1"/>
  <c r="P24" i="2" l="1"/>
  <c r="D8" i="1"/>
  <c r="P25" i="2"/>
  <c r="D44" i="1"/>
  <c r="D43" i="1" l="1"/>
  <c r="D41" i="1"/>
  <c r="D42" i="1" l="1"/>
  <c r="D40" i="1" l="1"/>
  <c r="D39" i="1" l="1"/>
  <c r="D38" i="1" l="1"/>
  <c r="D37" i="1"/>
  <c r="D36" i="1" l="1"/>
  <c r="D35" i="1" l="1"/>
  <c r="D34" i="1" l="1"/>
  <c r="D33" i="1" l="1"/>
  <c r="D32" i="1" l="1"/>
  <c r="D31" i="1" l="1"/>
  <c r="D26" i="1" l="1"/>
  <c r="D25" i="1"/>
  <c r="D24" i="1" l="1"/>
  <c r="D52" i="1" l="1"/>
  <c r="O52" i="1" s="1"/>
  <c r="L22" i="32"/>
  <c r="K22" i="32"/>
  <c r="J22" i="32"/>
  <c r="G22" i="32"/>
  <c r="F22" i="32"/>
  <c r="D22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N29" i="32"/>
  <c r="N28" i="32"/>
  <c r="N27" i="32"/>
  <c r="N26" i="32"/>
  <c r="N25" i="32"/>
  <c r="N24" i="32"/>
  <c r="M22" i="32"/>
  <c r="I22" i="32"/>
  <c r="H22" i="32"/>
  <c r="H31" i="32" s="1"/>
  <c r="E22" i="32"/>
  <c r="B22" i="32"/>
  <c r="B31" i="32" s="1"/>
  <c r="N21" i="32"/>
  <c r="N17" i="32"/>
  <c r="N16" i="32"/>
  <c r="N15" i="32"/>
  <c r="N14" i="32"/>
  <c r="N13" i="32"/>
  <c r="N12" i="32"/>
  <c r="N11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G31" i="32" l="1"/>
  <c r="G32" i="32" s="1"/>
  <c r="G33" i="32" s="1"/>
  <c r="D31" i="32"/>
  <c r="D32" i="32" s="1"/>
  <c r="D33" i="32" s="1"/>
  <c r="J31" i="32"/>
  <c r="J32" i="32" s="1"/>
  <c r="J33" i="32" s="1"/>
  <c r="L31" i="32"/>
  <c r="L32" i="32" s="1"/>
  <c r="L33" i="32" s="1"/>
  <c r="I31" i="32"/>
  <c r="I32" i="32" s="1"/>
  <c r="I33" i="32" s="1"/>
  <c r="F31" i="32"/>
  <c r="F32" i="32" s="1"/>
  <c r="F33" i="32" s="1"/>
  <c r="K31" i="32"/>
  <c r="K32" i="32" s="1"/>
  <c r="K33" i="32" s="1"/>
  <c r="M31" i="32"/>
  <c r="M32" i="32" s="1"/>
  <c r="M33" i="32" s="1"/>
  <c r="N30" i="32"/>
  <c r="E31" i="32"/>
  <c r="E32" i="32" s="1"/>
  <c r="E33" i="32" s="1"/>
  <c r="H32" i="32"/>
  <c r="H33" i="32" s="1"/>
  <c r="N20" i="32"/>
  <c r="C22" i="32"/>
  <c r="C31" i="32" s="1"/>
  <c r="C32" i="32" s="1"/>
  <c r="C33" i="32" s="1"/>
  <c r="B32" i="32"/>
  <c r="B33" i="32" s="1"/>
  <c r="N22" i="32" l="1"/>
  <c r="N31" i="32" s="1"/>
  <c r="N32" i="32" s="1"/>
  <c r="N33" i="32" s="1"/>
  <c r="D57" i="1" s="1"/>
  <c r="O57" i="1" s="1"/>
  <c r="M34" i="31"/>
  <c r="L34" i="31"/>
  <c r="K34" i="31"/>
  <c r="J34" i="31"/>
  <c r="I34" i="31"/>
  <c r="H34" i="31"/>
  <c r="G34" i="31"/>
  <c r="F34" i="31"/>
  <c r="E34" i="31"/>
  <c r="D34" i="31"/>
  <c r="C34" i="31"/>
  <c r="B34" i="31"/>
  <c r="N33" i="31"/>
  <c r="N32" i="31"/>
  <c r="N31" i="31"/>
  <c r="N30" i="31"/>
  <c r="N29" i="31"/>
  <c r="N28" i="31"/>
  <c r="M26" i="31"/>
  <c r="L26" i="31"/>
  <c r="L35" i="31" s="1"/>
  <c r="K26" i="31"/>
  <c r="J26" i="31"/>
  <c r="J35" i="31" s="1"/>
  <c r="I26" i="31"/>
  <c r="H26" i="31"/>
  <c r="H35" i="31" s="1"/>
  <c r="G26" i="31"/>
  <c r="F26" i="31"/>
  <c r="E26" i="31"/>
  <c r="E35" i="31" s="1"/>
  <c r="D26" i="31"/>
  <c r="D35" i="31" s="1"/>
  <c r="C26" i="31"/>
  <c r="B26" i="31"/>
  <c r="B35" i="31" s="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K35" i="31" l="1"/>
  <c r="K36" i="31" s="1"/>
  <c r="K37" i="31" s="1"/>
  <c r="C35" i="31"/>
  <c r="C36" i="31" s="1"/>
  <c r="C37" i="31" s="1"/>
  <c r="I35" i="31"/>
  <c r="I36" i="31" s="1"/>
  <c r="I37" i="31" s="1"/>
  <c r="M35" i="31"/>
  <c r="M36" i="31" s="1"/>
  <c r="M37" i="31" s="1"/>
  <c r="H36" i="31"/>
  <c r="H37" i="31" s="1"/>
  <c r="G35" i="31"/>
  <c r="G36" i="31" s="1"/>
  <c r="G37" i="31" s="1"/>
  <c r="N34" i="31"/>
  <c r="E36" i="31"/>
  <c r="E37" i="31" s="1"/>
  <c r="L36" i="31"/>
  <c r="L37" i="31" s="1"/>
  <c r="D36" i="31"/>
  <c r="D37" i="31" s="1"/>
  <c r="F35" i="31"/>
  <c r="F36" i="31" s="1"/>
  <c r="F37" i="31" s="1"/>
  <c r="B36" i="31"/>
  <c r="B37" i="31" s="1"/>
  <c r="J36" i="31"/>
  <c r="J37" i="31" s="1"/>
  <c r="N11" i="31"/>
  <c r="N26" i="31" l="1"/>
  <c r="N35" i="31" s="1"/>
  <c r="N36" i="31" s="1"/>
  <c r="N37" i="31" s="1"/>
  <c r="D56" i="1" s="1"/>
  <c r="O56" i="1" s="1"/>
  <c r="M39" i="30"/>
  <c r="L39" i="30"/>
  <c r="K39" i="30"/>
  <c r="J39" i="30"/>
  <c r="I39" i="30"/>
  <c r="H39" i="30"/>
  <c r="G39" i="30"/>
  <c r="F39" i="30"/>
  <c r="E39" i="30"/>
  <c r="D39" i="30"/>
  <c r="C39" i="30"/>
  <c r="B39" i="30"/>
  <c r="N38" i="30"/>
  <c r="N37" i="30"/>
  <c r="N36" i="30"/>
  <c r="N35" i="30"/>
  <c r="N34" i="30"/>
  <c r="N33" i="30"/>
  <c r="N32" i="30"/>
  <c r="M30" i="30"/>
  <c r="M40" i="30" s="1"/>
  <c r="L30" i="30"/>
  <c r="K30" i="30"/>
  <c r="K40" i="30" s="1"/>
  <c r="J30" i="30"/>
  <c r="I30" i="30"/>
  <c r="H30" i="30"/>
  <c r="G30" i="30"/>
  <c r="F30" i="30"/>
  <c r="E30" i="30"/>
  <c r="E40" i="30" s="1"/>
  <c r="D30" i="30"/>
  <c r="D40" i="30" s="1"/>
  <c r="C30" i="30"/>
  <c r="C40" i="30" s="1"/>
  <c r="B30" i="30"/>
  <c r="N29" i="30"/>
  <c r="N28" i="30"/>
  <c r="N27" i="30"/>
  <c r="N26" i="30"/>
  <c r="N25" i="30"/>
  <c r="N24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I40" i="30" l="1"/>
  <c r="I41" i="30" s="1"/>
  <c r="I42" i="30" s="1"/>
  <c r="L40" i="30"/>
  <c r="K59" i="1"/>
  <c r="D41" i="30"/>
  <c r="D42" i="30" s="1"/>
  <c r="N30" i="30"/>
  <c r="G40" i="30"/>
  <c r="G41" i="30" s="1"/>
  <c r="G42" i="30" s="1"/>
  <c r="H40" i="30"/>
  <c r="H41" i="30" s="1"/>
  <c r="H42" i="30" s="1"/>
  <c r="L41" i="30"/>
  <c r="L42" i="30" s="1"/>
  <c r="C41" i="30"/>
  <c r="C42" i="30" s="1"/>
  <c r="F40" i="30"/>
  <c r="F41" i="30" s="1"/>
  <c r="F42" i="30" s="1"/>
  <c r="K41" i="30"/>
  <c r="K42" i="30" s="1"/>
  <c r="M41" i="30"/>
  <c r="M42" i="30" s="1"/>
  <c r="E41" i="30"/>
  <c r="E42" i="30" s="1"/>
  <c r="N39" i="30"/>
  <c r="B40" i="30"/>
  <c r="B41" i="30" s="1"/>
  <c r="B42" i="30" s="1"/>
  <c r="J40" i="30"/>
  <c r="J41" i="30" s="1"/>
  <c r="J42" i="30" s="1"/>
  <c r="N40" i="30" l="1"/>
  <c r="N41" i="30" s="1"/>
  <c r="N42" i="30" s="1"/>
  <c r="D55" i="1" s="1"/>
  <c r="O55" i="1" s="1"/>
  <c r="D51" i="1"/>
  <c r="O51" i="1" s="1"/>
  <c r="D50" i="1" l="1"/>
  <c r="O50" i="1" s="1"/>
  <c r="D47" i="1" l="1"/>
  <c r="O47" i="1" s="1"/>
  <c r="M46" i="4" l="1"/>
  <c r="L46" i="4"/>
  <c r="K46" i="4"/>
  <c r="J46" i="4"/>
  <c r="I46" i="4"/>
  <c r="H46" i="4"/>
  <c r="G46" i="4"/>
  <c r="F46" i="4"/>
  <c r="E46" i="4"/>
  <c r="D46" i="4"/>
  <c r="C46" i="4"/>
  <c r="B46" i="4"/>
  <c r="N45" i="4"/>
  <c r="N44" i="4"/>
  <c r="M42" i="4"/>
  <c r="M47" i="4" s="1"/>
  <c r="L42" i="4"/>
  <c r="K42" i="4"/>
  <c r="J42" i="4"/>
  <c r="I42" i="4"/>
  <c r="H42" i="4"/>
  <c r="G42" i="4"/>
  <c r="F42" i="4"/>
  <c r="E42" i="4"/>
  <c r="E47" i="4" s="1"/>
  <c r="D42" i="4"/>
  <c r="C42" i="4"/>
  <c r="B42" i="4"/>
  <c r="N41" i="4"/>
  <c r="N40" i="4"/>
  <c r="M38" i="4"/>
  <c r="L38" i="4"/>
  <c r="K38" i="4"/>
  <c r="J38" i="4"/>
  <c r="I38" i="4"/>
  <c r="H38" i="4"/>
  <c r="G38" i="4"/>
  <c r="F38" i="4"/>
  <c r="E38" i="4"/>
  <c r="D38" i="4"/>
  <c r="C38" i="4"/>
  <c r="B38" i="4"/>
  <c r="N37" i="4"/>
  <c r="N38" i="4" s="1"/>
  <c r="M32" i="4"/>
  <c r="L32" i="4"/>
  <c r="K32" i="4"/>
  <c r="J32" i="4"/>
  <c r="I32" i="4"/>
  <c r="H32" i="4"/>
  <c r="G32" i="4"/>
  <c r="F32" i="4"/>
  <c r="E32" i="4"/>
  <c r="D32" i="4"/>
  <c r="C32" i="4"/>
  <c r="B32" i="4"/>
  <c r="N31" i="4"/>
  <c r="N30" i="4"/>
  <c r="N29" i="4"/>
  <c r="N28" i="4"/>
  <c r="N27" i="4"/>
  <c r="N26" i="4"/>
  <c r="M24" i="4"/>
  <c r="M33" i="4" s="1"/>
  <c r="L24" i="4"/>
  <c r="L33" i="4" s="1"/>
  <c r="K24" i="4"/>
  <c r="K33" i="4" s="1"/>
  <c r="J24" i="4"/>
  <c r="J33" i="4" s="1"/>
  <c r="I24" i="4"/>
  <c r="H24" i="4"/>
  <c r="G24" i="4"/>
  <c r="F24" i="4"/>
  <c r="F33" i="4" s="1"/>
  <c r="E24" i="4"/>
  <c r="E33" i="4" s="1"/>
  <c r="D24" i="4"/>
  <c r="D33" i="4" s="1"/>
  <c r="C24" i="4"/>
  <c r="C33" i="4" s="1"/>
  <c r="B24" i="4"/>
  <c r="B33" i="4" s="1"/>
  <c r="N23" i="4"/>
  <c r="N22" i="4"/>
  <c r="N21" i="4"/>
  <c r="N20" i="4"/>
  <c r="N19" i="4"/>
  <c r="N18" i="4"/>
  <c r="N17" i="4"/>
  <c r="N15" i="4"/>
  <c r="N14" i="4"/>
  <c r="N13" i="4"/>
  <c r="N12" i="4"/>
  <c r="N11" i="4"/>
  <c r="N8" i="4"/>
  <c r="M8" i="4"/>
  <c r="L8" i="4"/>
  <c r="K8" i="4"/>
  <c r="J8" i="4"/>
  <c r="I8" i="4"/>
  <c r="H8" i="4"/>
  <c r="G8" i="4"/>
  <c r="F8" i="4"/>
  <c r="E8" i="4"/>
  <c r="D8" i="4"/>
  <c r="D34" i="4" s="1"/>
  <c r="C8" i="4"/>
  <c r="B8" i="4"/>
  <c r="B34" i="4" l="1"/>
  <c r="F47" i="4"/>
  <c r="J34" i="4"/>
  <c r="N42" i="4"/>
  <c r="L34" i="4"/>
  <c r="E34" i="4"/>
  <c r="E48" i="4" s="1"/>
  <c r="M34" i="4"/>
  <c r="M48" i="4" s="1"/>
  <c r="H47" i="4"/>
  <c r="G47" i="4"/>
  <c r="N24" i="4"/>
  <c r="F34" i="4"/>
  <c r="N32" i="4"/>
  <c r="I47" i="4"/>
  <c r="G33" i="4"/>
  <c r="G34" i="4" s="1"/>
  <c r="B47" i="4"/>
  <c r="B48" i="4" s="1"/>
  <c r="J47" i="4"/>
  <c r="J48" i="4" s="1"/>
  <c r="N46" i="4"/>
  <c r="H33" i="4"/>
  <c r="H34" i="4" s="1"/>
  <c r="C47" i="4"/>
  <c r="K47" i="4"/>
  <c r="C34" i="4"/>
  <c r="K34" i="4"/>
  <c r="I33" i="4"/>
  <c r="I34" i="4" s="1"/>
  <c r="D47" i="4"/>
  <c r="D48" i="4" s="1"/>
  <c r="L47" i="4"/>
  <c r="F48" i="4" l="1"/>
  <c r="N47" i="4"/>
  <c r="L48" i="4"/>
  <c r="I48" i="4"/>
  <c r="G48" i="4"/>
  <c r="K48" i="4"/>
  <c r="H48" i="4"/>
  <c r="C48" i="4"/>
  <c r="N33" i="4"/>
  <c r="N34" i="4" s="1"/>
  <c r="N48" i="4" l="1"/>
  <c r="D15" i="1" s="1"/>
  <c r="M38" i="3"/>
  <c r="L38" i="3"/>
  <c r="K38" i="3"/>
  <c r="J38" i="3"/>
  <c r="I38" i="3"/>
  <c r="H38" i="3"/>
  <c r="G38" i="3"/>
  <c r="F38" i="3"/>
  <c r="E38" i="3"/>
  <c r="D38" i="3"/>
  <c r="C38" i="3"/>
  <c r="B38" i="3"/>
  <c r="N38" i="3"/>
  <c r="M35" i="3"/>
  <c r="L35" i="3"/>
  <c r="K35" i="3"/>
  <c r="J35" i="3"/>
  <c r="I35" i="3"/>
  <c r="H35" i="3"/>
  <c r="G35" i="3"/>
  <c r="F35" i="3"/>
  <c r="E35" i="3"/>
  <c r="E39" i="3" s="1"/>
  <c r="D35" i="3"/>
  <c r="D39" i="3" s="1"/>
  <c r="C35" i="3"/>
  <c r="B35" i="3"/>
  <c r="N34" i="3"/>
  <c r="N33" i="3"/>
  <c r="M28" i="3"/>
  <c r="L28" i="3"/>
  <c r="K28" i="3"/>
  <c r="J28" i="3"/>
  <c r="I28" i="3"/>
  <c r="H28" i="3"/>
  <c r="G28" i="3"/>
  <c r="F28" i="3"/>
  <c r="E28" i="3"/>
  <c r="D28" i="3"/>
  <c r="C28" i="3"/>
  <c r="B28" i="3"/>
  <c r="N27" i="3"/>
  <c r="N26" i="3"/>
  <c r="N25" i="3"/>
  <c r="N24" i="3"/>
  <c r="N23" i="3"/>
  <c r="M21" i="3"/>
  <c r="L21" i="3"/>
  <c r="K21" i="3"/>
  <c r="J21" i="3"/>
  <c r="I21" i="3"/>
  <c r="I29" i="3" s="1"/>
  <c r="H21" i="3"/>
  <c r="G21" i="3"/>
  <c r="G29" i="3" s="1"/>
  <c r="F21" i="3"/>
  <c r="F29" i="3" s="1"/>
  <c r="E21" i="3"/>
  <c r="E29" i="3" s="1"/>
  <c r="D21" i="3"/>
  <c r="D29" i="3" s="1"/>
  <c r="C21" i="3"/>
  <c r="B21" i="3"/>
  <c r="N20" i="3"/>
  <c r="N19" i="3"/>
  <c r="N18" i="3"/>
  <c r="N17" i="3"/>
  <c r="N16" i="3"/>
  <c r="N14" i="3"/>
  <c r="N13" i="3"/>
  <c r="N11" i="3"/>
  <c r="N8" i="3"/>
  <c r="M8" i="3"/>
  <c r="L8" i="3"/>
  <c r="K8" i="3"/>
  <c r="J8" i="3"/>
  <c r="I8" i="3"/>
  <c r="H8" i="3"/>
  <c r="G8" i="3"/>
  <c r="F8" i="3"/>
  <c r="E8" i="3"/>
  <c r="D8" i="3"/>
  <c r="C8" i="3"/>
  <c r="B8" i="3"/>
  <c r="J39" i="3" l="1"/>
  <c r="F39" i="3"/>
  <c r="B39" i="3"/>
  <c r="L29" i="3"/>
  <c r="L30" i="3" s="1"/>
  <c r="H29" i="3"/>
  <c r="H30" i="3" s="1"/>
  <c r="I30" i="3"/>
  <c r="L39" i="3"/>
  <c r="M39" i="3"/>
  <c r="I39" i="3"/>
  <c r="M29" i="3"/>
  <c r="M30" i="3" s="1"/>
  <c r="C29" i="3"/>
  <c r="C30" i="3" s="1"/>
  <c r="K29" i="3"/>
  <c r="K30" i="3" s="1"/>
  <c r="N28" i="3"/>
  <c r="N35" i="3"/>
  <c r="N39" i="3" s="1"/>
  <c r="H39" i="3"/>
  <c r="D30" i="3"/>
  <c r="D40" i="3" s="1"/>
  <c r="E30" i="3"/>
  <c r="E40" i="3" s="1"/>
  <c r="G30" i="3"/>
  <c r="N21" i="3"/>
  <c r="B29" i="3"/>
  <c r="B30" i="3" s="1"/>
  <c r="J29" i="3"/>
  <c r="J30" i="3" s="1"/>
  <c r="J40" i="3" s="1"/>
  <c r="D48" i="1"/>
  <c r="O48" i="1" s="1"/>
  <c r="K39" i="3"/>
  <c r="C39" i="3"/>
  <c r="G39" i="3"/>
  <c r="F30" i="3"/>
  <c r="F40" i="3" s="1"/>
  <c r="B40" i="3" l="1"/>
  <c r="M40" i="3"/>
  <c r="I40" i="3"/>
  <c r="H40" i="3"/>
  <c r="C40" i="3"/>
  <c r="L40" i="3"/>
  <c r="N29" i="3"/>
  <c r="N30" i="3" s="1"/>
  <c r="N40" i="3" s="1"/>
  <c r="D14" i="1" s="1"/>
  <c r="G40" i="3"/>
  <c r="K40" i="3"/>
  <c r="M30" i="2"/>
  <c r="M31" i="2" s="1"/>
  <c r="L30" i="2"/>
  <c r="L31" i="2" s="1"/>
  <c r="K30" i="2"/>
  <c r="K31" i="2" s="1"/>
  <c r="J30" i="2"/>
  <c r="J31" i="2" s="1"/>
  <c r="I30" i="2"/>
  <c r="I31" i="2" s="1"/>
  <c r="H30" i="2"/>
  <c r="H31" i="2" s="1"/>
  <c r="G30" i="2"/>
  <c r="G31" i="2" s="1"/>
  <c r="F30" i="2"/>
  <c r="F31" i="2" s="1"/>
  <c r="E30" i="2"/>
  <c r="E31" i="2" s="1"/>
  <c r="D30" i="2"/>
  <c r="D31" i="2" s="1"/>
  <c r="C30" i="2"/>
  <c r="C31" i="2" s="1"/>
  <c r="B30" i="2"/>
  <c r="B31" i="2" s="1"/>
  <c r="N29" i="2"/>
  <c r="B25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B19" i="2"/>
  <c r="L13" i="2"/>
  <c r="D13" i="2"/>
  <c r="M12" i="2"/>
  <c r="M13" i="2" s="1"/>
  <c r="L12" i="2"/>
  <c r="K12" i="2"/>
  <c r="K13" i="2" s="1"/>
  <c r="J12" i="2"/>
  <c r="J13" i="2" s="1"/>
  <c r="I12" i="2"/>
  <c r="I13" i="2" s="1"/>
  <c r="H12" i="2"/>
  <c r="H13" i="2" s="1"/>
  <c r="G12" i="2"/>
  <c r="G13" i="2" s="1"/>
  <c r="F12" i="2"/>
  <c r="F13" i="2" s="1"/>
  <c r="E12" i="2"/>
  <c r="E13" i="2" s="1"/>
  <c r="D12" i="2"/>
  <c r="C12" i="2"/>
  <c r="C13" i="2" s="1"/>
  <c r="B12" i="2"/>
  <c r="B13" i="2" s="1"/>
  <c r="N11" i="2"/>
  <c r="N8" i="2"/>
  <c r="M8" i="2"/>
  <c r="L8" i="2"/>
  <c r="K8" i="2"/>
  <c r="J8" i="2"/>
  <c r="I8" i="2"/>
  <c r="H8" i="2"/>
  <c r="G8" i="2"/>
  <c r="F8" i="2"/>
  <c r="E8" i="2"/>
  <c r="D8" i="2"/>
  <c r="D14" i="2" s="1"/>
  <c r="C8" i="2"/>
  <c r="B8" i="2"/>
  <c r="B26" i="2" l="1"/>
  <c r="K21" i="1"/>
  <c r="K61" i="1" s="1"/>
  <c r="G14" i="2"/>
  <c r="N12" i="2"/>
  <c r="N13" i="2" s="1"/>
  <c r="O11" i="2"/>
  <c r="O12" i="2" s="1"/>
  <c r="O13" i="2" s="1"/>
  <c r="O14" i="2" s="1"/>
  <c r="O32" i="2" s="1"/>
  <c r="P11" i="2"/>
  <c r="P12" i="2" s="1"/>
  <c r="P13" i="2" s="1"/>
  <c r="P14" i="2" s="1"/>
  <c r="D12" i="1"/>
  <c r="K66" i="1"/>
  <c r="D66" i="1"/>
  <c r="C14" i="2"/>
  <c r="K14" i="2"/>
  <c r="L14" i="2"/>
  <c r="N30" i="2"/>
  <c r="N31" i="2" s="1"/>
  <c r="N22" i="2"/>
  <c r="H14" i="2"/>
  <c r="E14" i="2"/>
  <c r="M14" i="2"/>
  <c r="I14" i="2"/>
  <c r="B14" i="2"/>
  <c r="B32" i="2" s="1"/>
  <c r="F14" i="2"/>
  <c r="J14" i="2"/>
  <c r="N14" i="2"/>
  <c r="C17" i="2"/>
  <c r="C25" i="2" l="1"/>
  <c r="C19" i="2"/>
  <c r="D17" i="2"/>
  <c r="C26" i="2" l="1"/>
  <c r="C32" i="2" s="1"/>
  <c r="D19" i="2"/>
  <c r="E17" i="2"/>
  <c r="D25" i="2"/>
  <c r="D26" i="2" l="1"/>
  <c r="D32" i="2" s="1"/>
  <c r="E25" i="2"/>
  <c r="E19" i="2"/>
  <c r="F17" i="2"/>
  <c r="E26" i="2" l="1"/>
  <c r="E32" i="2" s="1"/>
  <c r="F25" i="2"/>
  <c r="F19" i="2"/>
  <c r="G17" i="2"/>
  <c r="F26" i="2" l="1"/>
  <c r="F32" i="2" s="1"/>
  <c r="G25" i="2"/>
  <c r="G19" i="2"/>
  <c r="H17" i="2"/>
  <c r="G26" i="2" l="1"/>
  <c r="G32" i="2" s="1"/>
  <c r="H19" i="2"/>
  <c r="I17" i="2"/>
  <c r="H25" i="2"/>
  <c r="I25" i="2" l="1"/>
  <c r="I19" i="2"/>
  <c r="J17" i="2"/>
  <c r="H26" i="2"/>
  <c r="H32" i="2" s="1"/>
  <c r="I26" i="2" l="1"/>
  <c r="I32" i="2" s="1"/>
  <c r="J19" i="2"/>
  <c r="K17" i="2"/>
  <c r="J25" i="2"/>
  <c r="K19" i="2" l="1"/>
  <c r="L17" i="2"/>
  <c r="K25" i="2"/>
  <c r="J26" i="2"/>
  <c r="J32" i="2" s="1"/>
  <c r="K26" i="2" l="1"/>
  <c r="K32" i="2" s="1"/>
  <c r="L25" i="2"/>
  <c r="L19" i="2"/>
  <c r="M17" i="2"/>
  <c r="L26" i="2" l="1"/>
  <c r="L32" i="2" s="1"/>
  <c r="M19" i="2"/>
  <c r="N17" i="2"/>
  <c r="N19" i="2" s="1"/>
  <c r="M25" i="2"/>
  <c r="P17" i="2" l="1"/>
  <c r="D63" i="1"/>
  <c r="K67" i="1"/>
  <c r="K69" i="1" s="1"/>
  <c r="N25" i="2"/>
  <c r="D21" i="1"/>
  <c r="M26" i="2"/>
  <c r="M32" i="2" s="1"/>
  <c r="N26" i="2"/>
  <c r="N32" i="2" s="1"/>
  <c r="P19" i="2" l="1"/>
  <c r="P26" i="2" s="1"/>
  <c r="P32" i="2" s="1"/>
  <c r="D67" i="1"/>
  <c r="AG102" i="1"/>
  <c r="AG101" i="1"/>
  <c r="AG99" i="1"/>
  <c r="AG98" i="1"/>
  <c r="R97" i="1"/>
  <c r="R96" i="1"/>
  <c r="R94" i="1"/>
  <c r="R93" i="1"/>
  <c r="N67" i="1"/>
  <c r="N76" i="1" s="1"/>
  <c r="M67" i="1"/>
  <c r="M59" i="1"/>
  <c r="N42" i="1"/>
  <c r="AG38" i="1"/>
  <c r="AQ36" i="1"/>
  <c r="AQ35" i="1"/>
  <c r="AR20" i="1" s="1"/>
  <c r="B33" i="1"/>
  <c r="N24" i="1"/>
  <c r="AI23" i="1"/>
  <c r="AH23" i="1"/>
  <c r="AG23" i="1"/>
  <c r="AF23" i="1"/>
  <c r="AE23" i="1"/>
  <c r="AD23" i="1"/>
  <c r="M21" i="1"/>
  <c r="N20" i="1"/>
  <c r="N12" i="1"/>
  <c r="N21" i="1" s="1"/>
  <c r="N59" i="1" l="1"/>
  <c r="N61" i="1" s="1"/>
  <c r="N69" i="1" s="1"/>
  <c r="N82" i="1" s="1"/>
  <c r="M61" i="1"/>
  <c r="M69" i="1" s="1"/>
  <c r="N73" i="1"/>
  <c r="N74" i="1" s="1"/>
  <c r="D28" i="1" l="1"/>
  <c r="D59" i="1" s="1"/>
  <c r="D61" i="1" l="1"/>
  <c r="D69" i="1" l="1"/>
  <c r="D113" i="1" s="1"/>
</calcChain>
</file>

<file path=xl/sharedStrings.xml><?xml version="1.0" encoding="utf-8"?>
<sst xmlns="http://schemas.openxmlformats.org/spreadsheetml/2006/main" count="1961" uniqueCount="395">
  <si>
    <t>UWA STUDENT GUILD</t>
  </si>
  <si>
    <t>STATEMENT OF SOURCES AND APPLICATIONS OF FUNDS</t>
  </si>
  <si>
    <t>2024 ANNUAL Budget Review</t>
  </si>
  <si>
    <t>Divisions</t>
  </si>
  <si>
    <t>2024 Full Year</t>
  </si>
  <si>
    <t>2023 Full Year</t>
  </si>
  <si>
    <t>2023</t>
  </si>
  <si>
    <t>2022 Full Year</t>
  </si>
  <si>
    <t>2022</t>
  </si>
  <si>
    <t>2021 Full Year</t>
  </si>
  <si>
    <t>2021</t>
  </si>
  <si>
    <t>2020 Full Year</t>
  </si>
  <si>
    <t>2020</t>
  </si>
  <si>
    <t>2019 Full Year</t>
  </si>
  <si>
    <t>2019</t>
  </si>
  <si>
    <t>GL Code</t>
  </si>
  <si>
    <t>Budget</t>
  </si>
  <si>
    <t>Actual Forecast</t>
  </si>
  <si>
    <t>Actual</t>
  </si>
  <si>
    <t>MEMBERSHIP REVENUE</t>
  </si>
  <si>
    <t>103034 - SSAF</t>
  </si>
  <si>
    <t>INVESTMENTS</t>
  </si>
  <si>
    <t>SSAF</t>
  </si>
  <si>
    <t>103035 - Associate Membership Fee</t>
  </si>
  <si>
    <t>305102 - Bank Charges</t>
  </si>
  <si>
    <t>305083 - Advertising &amp; Promotion</t>
  </si>
  <si>
    <t>Associate Membership</t>
  </si>
  <si>
    <t>COMMERCIAL</t>
  </si>
  <si>
    <t>100k</t>
  </si>
  <si>
    <t>Net Profit/(Loss)</t>
  </si>
  <si>
    <t>PROPERTY SERVICES</t>
  </si>
  <si>
    <t>Property</t>
  </si>
  <si>
    <t>60k</t>
  </si>
  <si>
    <t>PROPERTY CATERING</t>
  </si>
  <si>
    <t>Catering Property</t>
  </si>
  <si>
    <t>SECOND HAND BOOKSHOP</t>
  </si>
  <si>
    <t>Guild Bookshop</t>
  </si>
  <si>
    <t>UWA merchandise</t>
  </si>
  <si>
    <t>2015 data</t>
  </si>
  <si>
    <t>Tavern</t>
  </si>
  <si>
    <t>p12 2016</t>
  </si>
  <si>
    <t>p10 2015</t>
  </si>
  <si>
    <t>OUTLETS</t>
  </si>
  <si>
    <t>All other outlets</t>
  </si>
  <si>
    <t>CATERING ADMIN</t>
  </si>
  <si>
    <t>Catering Admin</t>
  </si>
  <si>
    <t>Total</t>
  </si>
  <si>
    <t>Catering (consolidated)</t>
  </si>
  <si>
    <t>Loc no Dep</t>
  </si>
  <si>
    <t>NO DEPT</t>
  </si>
  <si>
    <t>Total Operating Income</t>
  </si>
  <si>
    <t>tav</t>
  </si>
  <si>
    <t>NO LOC</t>
  </si>
  <si>
    <t>PRESIDENTIAL</t>
  </si>
  <si>
    <t>cat admin</t>
  </si>
  <si>
    <t>Cat Adm</t>
  </si>
  <si>
    <t>PRESIDENTIAL OFFICE</t>
  </si>
  <si>
    <t>President</t>
  </si>
  <si>
    <t>grant income - Lion Nthan</t>
  </si>
  <si>
    <t>DENT</t>
  </si>
  <si>
    <t>GUILD COUNCIL</t>
  </si>
  <si>
    <t>Guild Council: Excl. Elections</t>
  </si>
  <si>
    <t>affiliation exp</t>
  </si>
  <si>
    <t>FN</t>
  </si>
  <si>
    <t>305129 - Election &amp; Referenda Expenses</t>
  </si>
  <si>
    <t>Elections and Referanda</t>
  </si>
  <si>
    <t>PELICAN</t>
  </si>
  <si>
    <t>Pelican</t>
  </si>
  <si>
    <t>GUILD DEPARTMENTS</t>
  </si>
  <si>
    <t>KIT</t>
  </si>
  <si>
    <t>ENVIRONMENT</t>
  </si>
  <si>
    <t>Environment</t>
  </si>
  <si>
    <t>ned</t>
  </si>
  <si>
    <t>International Student Services</t>
  </si>
  <si>
    <t>International Students' Department</t>
  </si>
  <si>
    <t>REFECT</t>
  </si>
  <si>
    <t>Ethnocultural</t>
  </si>
  <si>
    <t>POST-GRADUATE STUDENTS ASSOC</t>
  </si>
  <si>
    <t>Postgraduates Student Association</t>
  </si>
  <si>
    <t>awards &amp; prizes</t>
  </si>
  <si>
    <t>REFRES</t>
  </si>
  <si>
    <t>Pride</t>
  </si>
  <si>
    <t>P12 15</t>
  </si>
  <si>
    <t>REID</t>
  </si>
  <si>
    <t>Women's</t>
  </si>
  <si>
    <t>SLC</t>
  </si>
  <si>
    <t>MATURE AGE STUDENTS ASSOCIATION</t>
  </si>
  <si>
    <t>MASA</t>
  </si>
  <si>
    <t>SOM</t>
  </si>
  <si>
    <t>WASAC</t>
  </si>
  <si>
    <t>ALBANY STUDENTS</t>
  </si>
  <si>
    <t>Albany</t>
  </si>
  <si>
    <t>TAV</t>
  </si>
  <si>
    <t>WELFARE</t>
  </si>
  <si>
    <t>Wellbeing</t>
  </si>
  <si>
    <t>CO NO LOC</t>
  </si>
  <si>
    <t>RESIDENTIAL COLLEGE DEPARTMENT</t>
  </si>
  <si>
    <t>Residential Students' Department</t>
  </si>
  <si>
    <t>Income from ball came in May, budgetted in April</t>
  </si>
  <si>
    <t>ACCESS DEPARTMENT</t>
  </si>
  <si>
    <t>Access</t>
  </si>
  <si>
    <t>PUBLIC AFFAIRS</t>
  </si>
  <si>
    <t>Public Affairs Council</t>
  </si>
  <si>
    <t>305049 - SOC Grants</t>
  </si>
  <si>
    <t>SOCIETIES COUNCIL</t>
  </si>
  <si>
    <t>Club Grants</t>
  </si>
  <si>
    <t>Societies Council</t>
  </si>
  <si>
    <t>EDUCATION COUNCIL</t>
  </si>
  <si>
    <t>Education Council</t>
  </si>
  <si>
    <t>SPORTS COUNCIL</t>
  </si>
  <si>
    <t xml:space="preserve">Sports Department </t>
  </si>
  <si>
    <t>SERVICES AND ACTIVITIES</t>
  </si>
  <si>
    <t>STUDENT ASSIST</t>
  </si>
  <si>
    <t>Student Assist</t>
  </si>
  <si>
    <t>EVENTS</t>
  </si>
  <si>
    <t>Events</t>
  </si>
  <si>
    <t>GSC</t>
  </si>
  <si>
    <t>MARKETING &amp; MEMBERSHIP</t>
  </si>
  <si>
    <t>Marketing &amp; Membership</t>
  </si>
  <si>
    <t>CREATIVE &amp; DESIGNS</t>
  </si>
  <si>
    <t>Design</t>
  </si>
  <si>
    <t>VOLUNTEERING</t>
  </si>
  <si>
    <t>Volunteer Centre</t>
  </si>
  <si>
    <t>Student Innovation Centre</t>
  </si>
  <si>
    <t>CORPORATE SERVICES</t>
  </si>
  <si>
    <t>ADMINISTRATION</t>
  </si>
  <si>
    <t>Administration</t>
  </si>
  <si>
    <t>FINANCE</t>
  </si>
  <si>
    <t>Finance</t>
  </si>
  <si>
    <t>INFORMATION TECHNOLOGY</t>
  </si>
  <si>
    <t>Information Technology</t>
  </si>
  <si>
    <t>Total Expenditure</t>
  </si>
  <si>
    <t xml:space="preserve">  </t>
  </si>
  <si>
    <t>SURPLUS (DEFICIT) FROM OPERATING ITEMS</t>
  </si>
  <si>
    <t>NON-OPERATING INCOME</t>
  </si>
  <si>
    <t>103046 - Interest Income from UWA Pools</t>
  </si>
  <si>
    <t>Interest Income - UWA Investment Pools</t>
  </si>
  <si>
    <t>103049 - Interest Income Other</t>
  </si>
  <si>
    <t>Interest Income - Other</t>
  </si>
  <si>
    <t>Sundry Income</t>
  </si>
  <si>
    <t>105153 - Interest Expense</t>
  </si>
  <si>
    <t>Interest Expense - Other</t>
  </si>
  <si>
    <t>Total Non-Operating Income</t>
  </si>
  <si>
    <t>ACCOUNTING PROFIT (LOSS)</t>
  </si>
  <si>
    <t>CASHFLOW SUMMARY</t>
  </si>
  <si>
    <t>Accounting Surplus (Deficit)</t>
  </si>
  <si>
    <t>Add Depreciation</t>
  </si>
  <si>
    <t>Deduct Non-Operating Income</t>
  </si>
  <si>
    <t>Cash Surplus (Deficit from Operations)</t>
  </si>
  <si>
    <t>Add back Non-Operating Income</t>
  </si>
  <si>
    <t>Net Cash available before CAPEEX</t>
  </si>
  <si>
    <t>191TDEP</t>
  </si>
  <si>
    <t>Deduct Capital Expenditure</t>
  </si>
  <si>
    <t>NET CASH SURPLUS (DEFICIT)</t>
  </si>
  <si>
    <t>Check</t>
  </si>
  <si>
    <t xml:space="preserve">CASHFLOW SUMMARY </t>
  </si>
  <si>
    <t>DEP</t>
  </si>
  <si>
    <t>Accounting Profit / (Loss)</t>
  </si>
  <si>
    <t>P5 2019</t>
  </si>
  <si>
    <t>CASHFLOW FROM OPERATIONAL ACTIVITIES</t>
  </si>
  <si>
    <t>P5 2018</t>
  </si>
  <si>
    <t xml:space="preserve">Add Back Depreciation </t>
  </si>
  <si>
    <t>Dec / (Inc) in Assets</t>
  </si>
  <si>
    <t>YTD 2019</t>
  </si>
  <si>
    <t>(Dec) / Inc in Liabilities</t>
  </si>
  <si>
    <t>YTD 2018</t>
  </si>
  <si>
    <t>Depreciation</t>
  </si>
  <si>
    <t>CASHFLOW FROM INVESTING ACTIVITIES</t>
  </si>
  <si>
    <t>P10</t>
  </si>
  <si>
    <t>Capital Expenditure</t>
  </si>
  <si>
    <t>P1-10</t>
  </si>
  <si>
    <t>Investment Pool Withdrawals / (Deposits)</t>
  </si>
  <si>
    <t>NET CHANGE IN CASH FOR PERIOD</t>
  </si>
  <si>
    <t>Cash @ Beginning of Period</t>
  </si>
  <si>
    <t>Cash @ End of Period</t>
  </si>
  <si>
    <t xml:space="preserve">Balance Sheet Check </t>
  </si>
  <si>
    <t>Guild of Undergraduates</t>
  </si>
  <si>
    <t>Budget Profit and Loss</t>
  </si>
  <si>
    <t>FY 2024</t>
  </si>
  <si>
    <t>CORPORATE SERVICES: INVESTMENTS</t>
  </si>
  <si>
    <t/>
  </si>
  <si>
    <t>Financial Row</t>
  </si>
  <si>
    <t>FY</t>
  </si>
  <si>
    <t>Mid Year</t>
  </si>
  <si>
    <t> </t>
  </si>
  <si>
    <t>Amount</t>
  </si>
  <si>
    <t>Jan - May</t>
  </si>
  <si>
    <t>Gross Profit</t>
  </si>
  <si>
    <t>Expenses</t>
  </si>
  <si>
    <t>ADMINISTRATIVE EXPENSES - ADMINISTRATIVE EXPENSES</t>
  </si>
  <si>
    <t>Total - ADMINISTRATIVE EXPENSES - ADMINISTRATIVE EXPENSES</t>
  </si>
  <si>
    <t>Total - Expenses</t>
  </si>
  <si>
    <t>Operating Profit</t>
  </si>
  <si>
    <t>Other Income</t>
  </si>
  <si>
    <t>FINANCE INCOME - FINANCE INCOME</t>
  </si>
  <si>
    <t>Total - FINANCE INCOME - FINANCE INCOME</t>
  </si>
  <si>
    <t>OTHER INCOME - OTHER INCOME</t>
  </si>
  <si>
    <t>Total - OTHER INCOME - OTHER INCOME</t>
  </si>
  <si>
    <t>STUDENT SERVICES AND AMENITIES FEE FROM UWA - STUDENT SERVICES AND AMENITIES FEE FROM UWA</t>
  </si>
  <si>
    <t>Total - STUDENT SERVICES AND AMENITIES FEE FROM UWA - STUDENT SERVICES AND AMENITIES FEE FROM UWA</t>
  </si>
  <si>
    <t>Total - Other Income</t>
  </si>
  <si>
    <t>Other Expenses</t>
  </si>
  <si>
    <t>FINANCE COSTS - FINANCE COSTS</t>
  </si>
  <si>
    <t>Total - FINANCE COSTS - FINANCE COSTS</t>
  </si>
  <si>
    <t>Total - Other Expenses</t>
  </si>
  <si>
    <t>CS: PROPERTY SERVICES</t>
  </si>
  <si>
    <t>305108 - Cleaning Contract</t>
  </si>
  <si>
    <t>305111 - Communication Expenses</t>
  </si>
  <si>
    <t>305132 - Utilities</t>
  </si>
  <si>
    <t>305159 - Legal Fees &amp; Charges</t>
  </si>
  <si>
    <t xml:space="preserve">305162 - Licence &amp; Permits </t>
  </si>
  <si>
    <t>305195 - Repairs to Commercial Property</t>
  </si>
  <si>
    <t>305228 - Waste Control</t>
  </si>
  <si>
    <t>306001 - Depreciation - Plant &amp; Equipment</t>
  </si>
  <si>
    <t>306003 - Depreciation - Furniture &amp; Fittings</t>
  </si>
  <si>
    <t>306005 - Depreciation - Property</t>
  </si>
  <si>
    <t>EMPLOYEE BENEFITS EXPENSE - EMPLOYEE BENEFITS EXPENSE</t>
  </si>
  <si>
    <t>304001 - Salaries &amp; Wages - Permanent Staff</t>
  </si>
  <si>
    <t>304010 - Superannuation</t>
  </si>
  <si>
    <t>304013 - Workers Compensation Insurance</t>
  </si>
  <si>
    <t>304016 - Annual Leave Provision</t>
  </si>
  <si>
    <t>304019 - Long Service Leave Provision</t>
  </si>
  <si>
    <t>Total - EMPLOYEE BENEFITS EXPENSE - EMPLOYEE BENEFITS EXPENSE</t>
  </si>
  <si>
    <t>103053 - Tenant Utility Income</t>
  </si>
  <si>
    <t>103069 - Sundry Income</t>
  </si>
  <si>
    <t>RENTAL - PROPERTY &amp; EQUIPMENT INCOME - RENTAL - PROPERTY &amp; EQUIPMENT INCOME</t>
  </si>
  <si>
    <t>103052 - Lease/Rental Income</t>
  </si>
  <si>
    <t>Total - RENTAL - PROPERTY &amp; EQUIPMENT INCOME - RENTAL - PROPERTY &amp; EQUIPMENT INCOME</t>
  </si>
  <si>
    <t>CATERING PROPERTY</t>
  </si>
  <si>
    <t>305109 - Cleaning Consumables</t>
  </si>
  <si>
    <t>305156 - Laundry</t>
  </si>
  <si>
    <t>305162 - Licence &amp; Permits</t>
  </si>
  <si>
    <t>305189 - Repairs &amp; Maintenance</t>
  </si>
  <si>
    <t>304023 - Supplementary Payment Provision</t>
  </si>
  <si>
    <t>COMMISSION INCOME - COMMISSION INCOME</t>
  </si>
  <si>
    <t>103041 - Vending Commission</t>
  </si>
  <si>
    <t>Total - COMMISSION INCOME - COMMISSION INCOME</t>
  </si>
  <si>
    <t>103054 - Tenant Outgoings</t>
  </si>
  <si>
    <t>103056 - Rent Income - External &amp; Mobile Vendors</t>
  </si>
  <si>
    <t>TAVERN</t>
  </si>
  <si>
    <t>Income</t>
  </si>
  <si>
    <t>SALES CATERING DISCOUNT - SALES CATERING DISCOUNT</t>
  </si>
  <si>
    <t>102000 - Guild Member Discount</t>
  </si>
  <si>
    <t>102003 - Other Promotional Discounts</t>
  </si>
  <si>
    <t>Total - SALES CATERING DISCOUNT - SALES CATERING DISCOUNT</t>
  </si>
  <si>
    <t>SALES OF GOODS - SALES OF GOODS</t>
  </si>
  <si>
    <t>101001 - Sales - Catering</t>
  </si>
  <si>
    <t>Total - SALES OF GOODS - SALES OF GOODS</t>
  </si>
  <si>
    <t>Total - Income</t>
  </si>
  <si>
    <t>Cost Of Sales</t>
  </si>
  <si>
    <t>201070 - Cost of Goods Sold</t>
  </si>
  <si>
    <t>Total - Cost Of Sales</t>
  </si>
  <si>
    <t>305039 - Hire of Bands &amp; DJs</t>
  </si>
  <si>
    <t>305055 - Tavern Entertainment</t>
  </si>
  <si>
    <t>305082 - Pool Table Expenses</t>
  </si>
  <si>
    <t>305112 - Paper Products &amp; Packaging</t>
  </si>
  <si>
    <t>305141 - Equipment Rental</t>
  </si>
  <si>
    <t>305147 - General Expenses</t>
  </si>
  <si>
    <t>305155 - Interior decoration</t>
  </si>
  <si>
    <t>305168 - Occupational  Health &amp; Safety</t>
  </si>
  <si>
    <t>305180 - Printing &amp; Stationery</t>
  </si>
  <si>
    <t>305183 - Rates and Taxes</t>
  </si>
  <si>
    <t>305185 - Minor Assets</t>
  </si>
  <si>
    <t>305187 - Software Digital</t>
  </si>
  <si>
    <t>305197 - Replacement of Glass/Cutlery</t>
  </si>
  <si>
    <t>305201 - Security Expenses</t>
  </si>
  <si>
    <t>305204 - Security Monitoring</t>
  </si>
  <si>
    <t>305219 - Subscriptions</t>
  </si>
  <si>
    <t>306004 - Depreciation - Computer Equipment</t>
  </si>
  <si>
    <t>304004 - Salaries &amp; Wages - Other</t>
  </si>
  <si>
    <t>103001 - Advertising Income</t>
  </si>
  <si>
    <t>103075 - Sponsorship</t>
  </si>
  <si>
    <t>REBATE INCOME - REBATE INCOME</t>
  </si>
  <si>
    <t>103064 - Rebates - Catering</t>
  </si>
  <si>
    <t>Total - REBATE INCOME - REBATE INCOME</t>
  </si>
  <si>
    <t>103070 - Venue Hire</t>
  </si>
  <si>
    <t>103082 - Pool Table Income</t>
  </si>
  <si>
    <t>Consolidated CATERING OUTLET SUMMARY</t>
  </si>
  <si>
    <t>%</t>
  </si>
  <si>
    <t>2023 Budget Revenue</t>
  </si>
  <si>
    <t>2024 Budget W/ Cost Allocation</t>
  </si>
  <si>
    <t xml:space="preserve">2024 Budget </t>
  </si>
  <si>
    <t>2023 Actual (Jan-Oct)</t>
  </si>
  <si>
    <t>2023 Budget</t>
  </si>
  <si>
    <t>2022 Actual</t>
  </si>
  <si>
    <t>2022 Budget</t>
  </si>
  <si>
    <t>2021 Actual</t>
  </si>
  <si>
    <t>2021 Budget</t>
  </si>
  <si>
    <t>2020 Actual</t>
  </si>
  <si>
    <t>2020 Budget</t>
  </si>
  <si>
    <t>2019 Actual</t>
  </si>
  <si>
    <t>2019 Budget</t>
  </si>
  <si>
    <t>Comments</t>
  </si>
  <si>
    <t>BUSINESS SCHOOL</t>
  </si>
  <si>
    <t>CATALYST</t>
  </si>
  <si>
    <t>DENTISTRY</t>
  </si>
  <si>
    <t>NEDLANDS</t>
  </si>
  <si>
    <t>HACKETT</t>
  </si>
  <si>
    <t>QUOBBA</t>
  </si>
  <si>
    <t>FUNCTIONS</t>
  </si>
  <si>
    <t>KITCHEN</t>
  </si>
  <si>
    <t>Total (ex Tavern, Kitchen and Functions)</t>
  </si>
  <si>
    <t>Total Tavern, Kitchen and Functions</t>
  </si>
  <si>
    <t>Total Catering</t>
  </si>
  <si>
    <t>Jobkeeper</t>
  </si>
  <si>
    <t>Catering Snapshot</t>
  </si>
  <si>
    <t>2024 Budget</t>
  </si>
  <si>
    <t>Revenue</t>
  </si>
  <si>
    <t>Discount</t>
  </si>
  <si>
    <t>COGS</t>
  </si>
  <si>
    <t>Employee Expenditure</t>
  </si>
  <si>
    <t>Selling and Other Expenses</t>
  </si>
  <si>
    <t>Other Income and expenses</t>
  </si>
  <si>
    <t>Net Profit</t>
  </si>
  <si>
    <t>GP%</t>
  </si>
  <si>
    <t>Employee expenditure %</t>
  </si>
  <si>
    <t>Net Profit %</t>
  </si>
  <si>
    <t>305114 - Computer Expenses</t>
  </si>
  <si>
    <t>305117 - Conferences</t>
  </si>
  <si>
    <t>305165 - Motor Vehicle Expenses</t>
  </si>
  <si>
    <t>305207 - Special Projects</t>
  </si>
  <si>
    <t>103028 - Grant Income Received</t>
  </si>
  <si>
    <t>305023 - Student Rep Induction conference</t>
  </si>
  <si>
    <t>305056 - Grants</t>
  </si>
  <si>
    <t>305044 - Special Projects-MCW</t>
  </si>
  <si>
    <t>305057 - Website</t>
  </si>
  <si>
    <t>305063 - Handbooks</t>
  </si>
  <si>
    <t>305096 - Bad Debt Provision</t>
  </si>
  <si>
    <t>305150 - Insurance General</t>
  </si>
  <si>
    <t>305166 - Meeting Expenses</t>
  </si>
  <si>
    <t>305208 - Affiliation Expenses</t>
  </si>
  <si>
    <t>305209 - Senate Dinner</t>
  </si>
  <si>
    <t>305210 - Staff Amenities</t>
  </si>
  <si>
    <t>306007 - Depreciation - Right of use asset</t>
  </si>
  <si>
    <t>103030 - Service Fees</t>
  </si>
  <si>
    <t>305068 - Orientation Day Expenses</t>
  </si>
  <si>
    <t>305079 - Theme Week</t>
  </si>
  <si>
    <t>305080 - Activities and Functions</t>
  </si>
  <si>
    <t>FY 2023</t>
  </si>
  <si>
    <t>PSA</t>
  </si>
  <si>
    <t>305052 - Awards &amp; Prizes</t>
  </si>
  <si>
    <t>305076 - Sundry Activities</t>
  </si>
  <si>
    <t>305181 - Publications</t>
  </si>
  <si>
    <t>ISS</t>
  </si>
  <si>
    <t>305190 - Equity Initiatives</t>
  </si>
  <si>
    <t>ETHNOCULTURAL</t>
  </si>
  <si>
    <t>PRIDE</t>
  </si>
  <si>
    <t>305225 - Uniforms</t>
  </si>
  <si>
    <t>WOMENS</t>
  </si>
  <si>
    <t>305024 - Campaigns</t>
  </si>
  <si>
    <t>305333 - Workshops and seminars</t>
  </si>
  <si>
    <t>305177 - Postage</t>
  </si>
  <si>
    <t>ALBANY</t>
  </si>
  <si>
    <t>305155 - Interior Decoration</t>
  </si>
  <si>
    <t>WELLBEING</t>
  </si>
  <si>
    <t>RSD</t>
  </si>
  <si>
    <t>From Jan 2024 to Dec 2024</t>
  </si>
  <si>
    <t>ACCESS</t>
  </si>
  <si>
    <t>305016 - Orientation Week</t>
  </si>
  <si>
    <t>PAC</t>
  </si>
  <si>
    <t>SOC</t>
  </si>
  <si>
    <t>STUDENT INNOVATION CENTRE</t>
  </si>
  <si>
    <t>305120 - Consultants</t>
  </si>
  <si>
    <t>305020 - Guild Meal Vouchers distributed</t>
  </si>
  <si>
    <t>305029 - Grant Distributed</t>
  </si>
  <si>
    <t>306006 - Depreciation - Intangible Assets</t>
  </si>
  <si>
    <t>Under/over</t>
  </si>
  <si>
    <t>Events 2020 Budget</t>
  </si>
  <si>
    <t>305017 - Returners Festival</t>
  </si>
  <si>
    <t>305053 - Guild Ball</t>
  </si>
  <si>
    <t>305085 - End of Semester Show</t>
  </si>
  <si>
    <t>305086 - Wellness Initiatives</t>
  </si>
  <si>
    <t>103055 - Market Day Income</t>
  </si>
  <si>
    <t>103068 - Orientation Day Income</t>
  </si>
  <si>
    <t>101009 - Freight Income</t>
  </si>
  <si>
    <t>101011 - Sundry Sales</t>
  </si>
  <si>
    <t>101012 - Sales Shopify</t>
  </si>
  <si>
    <t>101900 - Sales - Internal</t>
  </si>
  <si>
    <t>305014 - Diary Production</t>
  </si>
  <si>
    <t>305050 - Research &amp; Survey</t>
  </si>
  <si>
    <t>103061 - Commission Income</t>
  </si>
  <si>
    <t>Smart rider</t>
  </si>
  <si>
    <t>103014 - Diary Advertising Income</t>
  </si>
  <si>
    <t>Marketing</t>
  </si>
  <si>
    <t>Creative and Design</t>
  </si>
  <si>
    <t>201200 - Purchases - Printing</t>
  </si>
  <si>
    <t>Please provide timing (month) and hours for casual.</t>
  </si>
  <si>
    <t>305022 - Relay for life</t>
  </si>
  <si>
    <t>CORPORATE SERVICES:ADMIN</t>
  </si>
  <si>
    <t>305213 - Staff Recruitment Expenses</t>
  </si>
  <si>
    <t>305216 - Training, Development &amp; Incentives</t>
  </si>
  <si>
    <t>304025 - Special Leave</t>
  </si>
  <si>
    <t>CORPORATE SERVICES: FINANCE</t>
  </si>
  <si>
    <t>305093 - Audit &amp; Tax Services</t>
  </si>
  <si>
    <t>CORPORATE SERVICES: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</si>
</sst>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&quot;$&quot;#,##0"/>
    <numFmt numFmtId="167" formatCode="_-&quot;$&quot;* #,##0_-;\-&quot;$&quot;* #,##0_-;_-&quot;$&quot;* &quot;-&quot;??_-;_-@_-"/>
    <numFmt numFmtId="168" formatCode="_-* #,##0_-;\-* #,##0_-;_-* &quot;-&quot;??_-;_-@_-"/>
    <numFmt numFmtId="169" formatCode="#,##0.00_ ;[Red]\-#,##0.00\ 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8"/>
      <name val="Arial"/>
      <family val="2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1"/>
      <color theme="3" tint="-0.249977111117893"/>
      <name val="Calibri"/>
      <family val="2"/>
      <scheme val="minor"/>
    </font>
    <font>
      <b/>
      <sz val="10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</font>
    <font>
      <b/>
      <sz val="12"/>
      <name val="Arial"/>
    </font>
    <font>
      <b/>
      <sz val="14"/>
      <name val="Arial"/>
    </font>
    <font>
      <b/>
      <sz val="7"/>
      <name val="Arial"/>
    </font>
    <font>
      <b/>
      <sz val="8"/>
      <color indexed="8"/>
      <name val="Arial"/>
    </font>
    <font>
      <b/>
      <sz val="8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E8A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rgb="FF969696"/>
      </top>
      <bottom/>
      <diagonal/>
    </border>
    <border>
      <left/>
      <right/>
      <top style="dotted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0" fontId="15" fillId="0" borderId="0"/>
    <xf numFmtId="0" fontId="9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32" applyNumberFormat="0" applyAlignment="0" applyProtection="0"/>
    <xf numFmtId="0" fontId="36" fillId="11" borderId="33" applyNumberFormat="0" applyAlignment="0" applyProtection="0"/>
    <xf numFmtId="0" fontId="37" fillId="11" borderId="32" applyNumberFormat="0" applyAlignment="0" applyProtection="0"/>
    <xf numFmtId="0" fontId="38" fillId="0" borderId="34" applyNumberFormat="0" applyFill="0" applyAlignment="0" applyProtection="0"/>
    <xf numFmtId="0" fontId="39" fillId="12" borderId="35" applyNumberFormat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37" applyNumberFormat="0" applyFill="0" applyAlignment="0" applyProtection="0"/>
    <xf numFmtId="0" fontId="4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0" borderId="0"/>
    <xf numFmtId="0" fontId="1" fillId="13" borderId="36" applyNumberFormat="0" applyFont="0" applyAlignment="0" applyProtection="0"/>
    <xf numFmtId="0" fontId="1" fillId="13" borderId="3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5" fontId="3" fillId="0" borderId="2" xfId="0" applyNumberFormat="1" applyFont="1" applyBorder="1"/>
    <xf numFmtId="165" fontId="4" fillId="0" borderId="2" xfId="0" applyNumberFormat="1" applyFont="1" applyBorder="1"/>
    <xf numFmtId="165" fontId="6" fillId="0" borderId="2" xfId="0" applyNumberFormat="1" applyFont="1" applyBorder="1"/>
    <xf numFmtId="165" fontId="5" fillId="2" borderId="2" xfId="0" applyNumberFormat="1" applyFont="1" applyFill="1" applyBorder="1"/>
    <xf numFmtId="0" fontId="3" fillId="2" borderId="0" xfId="0" applyFont="1" applyFill="1"/>
    <xf numFmtId="0" fontId="7" fillId="2" borderId="0" xfId="0" applyFont="1" applyFill="1"/>
    <xf numFmtId="0" fontId="3" fillId="2" borderId="4" xfId="0" applyFont="1" applyFill="1" applyBorder="1"/>
    <xf numFmtId="165" fontId="3" fillId="0" borderId="0" xfId="0" applyNumberFormat="1" applyFont="1"/>
    <xf numFmtId="165" fontId="4" fillId="0" borderId="0" xfId="0" applyNumberFormat="1" applyFont="1"/>
    <xf numFmtId="165" fontId="3" fillId="2" borderId="0" xfId="0" applyNumberFormat="1" applyFont="1" applyFill="1"/>
    <xf numFmtId="165" fontId="5" fillId="2" borderId="0" xfId="0" applyNumberFormat="1" applyFont="1" applyFill="1"/>
    <xf numFmtId="165" fontId="4" fillId="0" borderId="6" xfId="0" applyNumberFormat="1" applyFont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4" xfId="0" applyFont="1" applyBorder="1"/>
    <xf numFmtId="0" fontId="3" fillId="0" borderId="0" xfId="0" applyFont="1"/>
    <xf numFmtId="166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6" fillId="0" borderId="0" xfId="0" applyNumberFormat="1" applyFont="1"/>
    <xf numFmtId="165" fontId="5" fillId="0" borderId="0" xfId="0" applyNumberFormat="1" applyFont="1"/>
    <xf numFmtId="0" fontId="7" fillId="0" borderId="0" xfId="0" applyFont="1"/>
    <xf numFmtId="0" fontId="3" fillId="0" borderId="0" xfId="3" applyFont="1"/>
    <xf numFmtId="166" fontId="6" fillId="0" borderId="0" xfId="0" applyNumberFormat="1" applyFont="1"/>
    <xf numFmtId="166" fontId="6" fillId="2" borderId="0" xfId="0" applyNumberFormat="1" applyFont="1" applyFill="1"/>
    <xf numFmtId="166" fontId="3" fillId="2" borderId="0" xfId="0" applyNumberFormat="1" applyFont="1" applyFill="1"/>
    <xf numFmtId="166" fontId="10" fillId="0" borderId="0" xfId="0" applyNumberFormat="1" applyFont="1"/>
    <xf numFmtId="9" fontId="3" fillId="0" borderId="0" xfId="2" applyFont="1"/>
    <xf numFmtId="167" fontId="3" fillId="0" borderId="0" xfId="0" applyNumberFormat="1" applyFont="1"/>
    <xf numFmtId="167" fontId="7" fillId="0" borderId="0" xfId="0" applyNumberFormat="1" applyFont="1"/>
    <xf numFmtId="0" fontId="3" fillId="0" borderId="8" xfId="0" applyFont="1" applyBorder="1"/>
    <xf numFmtId="0" fontId="3" fillId="0" borderId="9" xfId="3" applyFont="1" applyBorder="1"/>
    <xf numFmtId="0" fontId="3" fillId="0" borderId="10" xfId="0" applyFont="1" applyBorder="1"/>
    <xf numFmtId="0" fontId="3" fillId="0" borderId="11" xfId="3" applyFont="1" applyBorder="1"/>
    <xf numFmtId="165" fontId="3" fillId="0" borderId="12" xfId="0" applyNumberFormat="1" applyFont="1" applyBorder="1"/>
    <xf numFmtId="0" fontId="12" fillId="0" borderId="13" xfId="3" applyFont="1" applyBorder="1"/>
    <xf numFmtId="0" fontId="3" fillId="0" borderId="14" xfId="3" applyFont="1" applyBorder="1"/>
    <xf numFmtId="165" fontId="3" fillId="0" borderId="0" xfId="0" applyNumberFormat="1" applyFont="1" applyAlignment="1">
      <alignment horizontal="center"/>
    </xf>
    <xf numFmtId="166" fontId="5" fillId="0" borderId="0" xfId="0" applyNumberFormat="1" applyFont="1"/>
    <xf numFmtId="0" fontId="6" fillId="0" borderId="0" xfId="0" applyFont="1"/>
    <xf numFmtId="164" fontId="3" fillId="0" borderId="0" xfId="1" applyFont="1"/>
    <xf numFmtId="164" fontId="0" fillId="0" borderId="0" xfId="1" applyFont="1"/>
    <xf numFmtId="0" fontId="13" fillId="0" borderId="0" xfId="0" applyFont="1" applyAlignment="1">
      <alignment horizontal="center" vertical="center"/>
    </xf>
    <xf numFmtId="164" fontId="7" fillId="0" borderId="0" xfId="1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166" fontId="14" fillId="0" borderId="10" xfId="0" applyNumberFormat="1" applyFont="1" applyBorder="1"/>
    <xf numFmtId="164" fontId="14" fillId="0" borderId="0" xfId="1" applyFont="1"/>
    <xf numFmtId="164" fontId="14" fillId="0" borderId="11" xfId="1" applyFont="1" applyBorder="1"/>
    <xf numFmtId="43" fontId="0" fillId="0" borderId="0" xfId="0" applyNumberFormat="1"/>
    <xf numFmtId="164" fontId="13" fillId="0" borderId="0" xfId="1" applyFont="1"/>
    <xf numFmtId="0" fontId="7" fillId="0" borderId="10" xfId="0" applyFont="1" applyBorder="1"/>
    <xf numFmtId="43" fontId="7" fillId="0" borderId="11" xfId="0" applyNumberFormat="1" applyFont="1" applyBorder="1"/>
    <xf numFmtId="0" fontId="4" fillId="0" borderId="4" xfId="0" applyFont="1" applyBorder="1"/>
    <xf numFmtId="0" fontId="4" fillId="0" borderId="0" xfId="0" applyFont="1"/>
    <xf numFmtId="165" fontId="4" fillId="0" borderId="7" xfId="0" applyNumberFormat="1" applyFont="1" applyBorder="1" applyAlignment="1">
      <alignment horizontal="center"/>
    </xf>
    <xf numFmtId="166" fontId="4" fillId="0" borderId="7" xfId="0" applyNumberFormat="1" applyFont="1" applyBorder="1"/>
    <xf numFmtId="0" fontId="7" fillId="0" borderId="11" xfId="0" applyFont="1" applyBorder="1"/>
    <xf numFmtId="168" fontId="5" fillId="0" borderId="0" xfId="4" applyNumberFormat="1" applyFont="1"/>
    <xf numFmtId="167" fontId="3" fillId="2" borderId="0" xfId="0" applyNumberFormat="1" applyFont="1" applyFill="1"/>
    <xf numFmtId="167" fontId="7" fillId="2" borderId="0" xfId="0" applyNumberFormat="1" applyFont="1" applyFill="1"/>
    <xf numFmtId="164" fontId="7" fillId="2" borderId="0" xfId="1" applyFont="1" applyFill="1"/>
    <xf numFmtId="164" fontId="0" fillId="2" borderId="10" xfId="1" applyFont="1" applyFill="1" applyBorder="1"/>
    <xf numFmtId="164" fontId="14" fillId="2" borderId="0" xfId="1" applyFont="1" applyFill="1"/>
    <xf numFmtId="0" fontId="0" fillId="2" borderId="11" xfId="0" applyFill="1" applyBorder="1"/>
    <xf numFmtId="43" fontId="14" fillId="2" borderId="0" xfId="0" applyNumberFormat="1" applyFont="1" applyFill="1"/>
    <xf numFmtId="164" fontId="7" fillId="2" borderId="10" xfId="1" applyFont="1" applyFill="1" applyBorder="1"/>
    <xf numFmtId="0" fontId="7" fillId="2" borderId="11" xfId="0" applyFont="1" applyFill="1" applyBorder="1"/>
    <xf numFmtId="166" fontId="7" fillId="2" borderId="0" xfId="0" applyNumberFormat="1" applyFont="1" applyFill="1"/>
    <xf numFmtId="165" fontId="7" fillId="2" borderId="0" xfId="0" applyNumberFormat="1" applyFont="1" applyFill="1"/>
    <xf numFmtId="165" fontId="7" fillId="2" borderId="10" xfId="0" applyNumberFormat="1" applyFont="1" applyFill="1" applyBorder="1"/>
    <xf numFmtId="0" fontId="16" fillId="0" borderId="0" xfId="5" applyFont="1" applyAlignment="1">
      <alignment horizontal="left"/>
    </xf>
    <xf numFmtId="0" fontId="7" fillId="2" borderId="10" xfId="0" applyFont="1" applyFill="1" applyBorder="1"/>
    <xf numFmtId="164" fontId="3" fillId="2" borderId="0" xfId="1" applyFont="1" applyFill="1"/>
    <xf numFmtId="43" fontId="7" fillId="0" borderId="0" xfId="0" applyNumberFormat="1" applyFont="1"/>
    <xf numFmtId="164" fontId="7" fillId="0" borderId="13" xfId="1" applyFont="1" applyBorder="1"/>
    <xf numFmtId="164" fontId="7" fillId="0" borderId="12" xfId="1" applyFont="1" applyBorder="1"/>
    <xf numFmtId="164" fontId="7" fillId="0" borderId="14" xfId="1" applyFont="1" applyBorder="1"/>
    <xf numFmtId="0" fontId="9" fillId="0" borderId="0" xfId="3"/>
    <xf numFmtId="164" fontId="3" fillId="0" borderId="4" xfId="1" applyFont="1" applyBorder="1"/>
    <xf numFmtId="164" fontId="6" fillId="0" borderId="0" xfId="1" applyFont="1"/>
    <xf numFmtId="164" fontId="2" fillId="0" borderId="0" xfId="1"/>
    <xf numFmtId="44" fontId="3" fillId="0" borderId="0" xfId="0" applyNumberFormat="1" applyFont="1"/>
    <xf numFmtId="0" fontId="6" fillId="0" borderId="4" xfId="0" applyFont="1" applyBorder="1"/>
    <xf numFmtId="9" fontId="0" fillId="0" borderId="0" xfId="2" applyFont="1"/>
    <xf numFmtId="165" fontId="7" fillId="0" borderId="0" xfId="0" applyNumberFormat="1" applyFont="1"/>
    <xf numFmtId="166" fontId="4" fillId="0" borderId="0" xfId="0" applyNumberFormat="1" applyFont="1"/>
    <xf numFmtId="166" fontId="8" fillId="0" borderId="0" xfId="0" applyNumberFormat="1" applyFont="1"/>
    <xf numFmtId="167" fontId="4" fillId="0" borderId="0" xfId="0" applyNumberFormat="1" applyFont="1"/>
    <xf numFmtId="167" fontId="14" fillId="0" borderId="0" xfId="0" applyNumberFormat="1" applyFont="1"/>
    <xf numFmtId="0" fontId="3" fillId="2" borderId="17" xfId="0" applyFont="1" applyFill="1" applyBorder="1"/>
    <xf numFmtId="0" fontId="3" fillId="2" borderId="18" xfId="0" applyFont="1" applyFill="1" applyBorder="1"/>
    <xf numFmtId="166" fontId="4" fillId="2" borderId="16" xfId="0" applyNumberFormat="1" applyFont="1" applyFill="1" applyBorder="1"/>
    <xf numFmtId="165" fontId="8" fillId="2" borderId="16" xfId="0" applyNumberFormat="1" applyFont="1" applyFill="1" applyBorder="1" applyAlignment="1">
      <alignment horizontal="center"/>
    </xf>
    <xf numFmtId="166" fontId="4" fillId="0" borderId="16" xfId="0" applyNumberFormat="1" applyFont="1" applyBorder="1"/>
    <xf numFmtId="165" fontId="4" fillId="2" borderId="2" xfId="0" applyNumberFormat="1" applyFont="1" applyFill="1" applyBorder="1" applyAlignment="1">
      <alignment horizontal="center"/>
    </xf>
    <xf numFmtId="166" fontId="6" fillId="2" borderId="2" xfId="0" applyNumberFormat="1" applyFont="1" applyFill="1" applyBorder="1"/>
    <xf numFmtId="166" fontId="3" fillId="0" borderId="2" xfId="0" applyNumberFormat="1" applyFont="1" applyBorder="1"/>
    <xf numFmtId="166" fontId="5" fillId="0" borderId="2" xfId="0" applyNumberFormat="1" applyFont="1" applyBorder="1"/>
    <xf numFmtId="0" fontId="17" fillId="0" borderId="0" xfId="0" applyFont="1"/>
    <xf numFmtId="165" fontId="4" fillId="2" borderId="7" xfId="0" applyNumberFormat="1" applyFont="1" applyFill="1" applyBorder="1" applyAlignment="1">
      <alignment horizontal="center"/>
    </xf>
    <xf numFmtId="166" fontId="6" fillId="2" borderId="7" xfId="0" applyNumberFormat="1" applyFont="1" applyFill="1" applyBorder="1"/>
    <xf numFmtId="166" fontId="3" fillId="0" borderId="7" xfId="0" applyNumberFormat="1" applyFont="1" applyBorder="1"/>
    <xf numFmtId="166" fontId="5" fillId="0" borderId="7" xfId="0" applyNumberFormat="1" applyFont="1" applyBorder="1"/>
    <xf numFmtId="165" fontId="4" fillId="2" borderId="19" xfId="0" applyNumberFormat="1" applyFont="1" applyFill="1" applyBorder="1" applyAlignment="1">
      <alignment horizontal="center"/>
    </xf>
    <xf numFmtId="166" fontId="8" fillId="2" borderId="19" xfId="0" applyNumberFormat="1" applyFont="1" applyFill="1" applyBorder="1"/>
    <xf numFmtId="166" fontId="4" fillId="0" borderId="19" xfId="0" applyNumberFormat="1" applyFont="1" applyBorder="1"/>
    <xf numFmtId="166" fontId="18" fillId="0" borderId="19" xfId="0" applyNumberFormat="1" applyFont="1" applyBorder="1"/>
    <xf numFmtId="165" fontId="4" fillId="2" borderId="0" xfId="0" applyNumberFormat="1" applyFont="1" applyFill="1" applyAlignment="1">
      <alignment horizontal="center"/>
    </xf>
    <xf numFmtId="166" fontId="18" fillId="0" borderId="0" xfId="0" applyNumberFormat="1" applyFont="1"/>
    <xf numFmtId="165" fontId="3" fillId="2" borderId="18" xfId="0" applyNumberFormat="1" applyFont="1" applyFill="1" applyBorder="1" applyAlignment="1">
      <alignment horizontal="center"/>
    </xf>
    <xf numFmtId="166" fontId="6" fillId="2" borderId="18" xfId="0" applyNumberFormat="1" applyFont="1" applyFill="1" applyBorder="1"/>
    <xf numFmtId="166" fontId="3" fillId="0" borderId="18" xfId="0" applyNumberFormat="1" applyFont="1" applyBorder="1"/>
    <xf numFmtId="166" fontId="5" fillId="0" borderId="18" xfId="0" applyNumberFormat="1" applyFont="1" applyBorder="1"/>
    <xf numFmtId="165" fontId="6" fillId="2" borderId="0" xfId="0" applyNumberFormat="1" applyFont="1" applyFill="1"/>
    <xf numFmtId="0" fontId="5" fillId="0" borderId="0" xfId="0" applyFont="1"/>
    <xf numFmtId="0" fontId="19" fillId="0" borderId="0" xfId="0" applyFont="1"/>
    <xf numFmtId="0" fontId="20" fillId="3" borderId="21" xfId="0" applyFont="1" applyFill="1" applyBorder="1"/>
    <xf numFmtId="0" fontId="20" fillId="3" borderId="0" xfId="0" applyFont="1" applyFill="1"/>
    <xf numFmtId="165" fontId="20" fillId="4" borderId="21" xfId="0" applyNumberFormat="1" applyFont="1" applyFill="1" applyBorder="1" applyAlignment="1">
      <alignment horizontal="center"/>
    </xf>
    <xf numFmtId="0" fontId="21" fillId="0" borderId="0" xfId="0" applyFont="1"/>
    <xf numFmtId="165" fontId="18" fillId="2" borderId="0" xfId="0" applyNumberFormat="1" applyFont="1" applyFill="1"/>
    <xf numFmtId="165" fontId="18" fillId="0" borderId="0" xfId="0" applyNumberFormat="1" applyFont="1"/>
    <xf numFmtId="0" fontId="18" fillId="2" borderId="0" xfId="0" applyFont="1" applyFill="1"/>
    <xf numFmtId="0" fontId="4" fillId="2" borderId="1" xfId="0" applyFont="1" applyFill="1" applyBorder="1"/>
    <xf numFmtId="164" fontId="4" fillId="2" borderId="3" xfId="1" applyFont="1" applyFill="1" applyBorder="1"/>
    <xf numFmtId="0" fontId="21" fillId="2" borderId="0" xfId="0" applyFont="1" applyFill="1"/>
    <xf numFmtId="165" fontId="3" fillId="0" borderId="22" xfId="0" applyNumberFormat="1" applyFont="1" applyBorder="1"/>
    <xf numFmtId="49" fontId="3" fillId="2" borderId="4" xfId="0" applyNumberFormat="1" applyFont="1" applyFill="1" applyBorder="1"/>
    <xf numFmtId="164" fontId="3" fillId="5" borderId="5" xfId="1" applyFont="1" applyFill="1" applyBorder="1"/>
    <xf numFmtId="0" fontId="5" fillId="2" borderId="0" xfId="0" applyFont="1" applyFill="1"/>
    <xf numFmtId="0" fontId="19" fillId="2" borderId="0" xfId="0" applyFont="1" applyFill="1"/>
    <xf numFmtId="0" fontId="17" fillId="2" borderId="0" xfId="0" applyFont="1" applyFill="1"/>
    <xf numFmtId="165" fontId="20" fillId="0" borderId="23" xfId="0" applyNumberFormat="1" applyFont="1" applyBorder="1"/>
    <xf numFmtId="164" fontId="3" fillId="2" borderId="5" xfId="1" applyFont="1" applyFill="1" applyBorder="1"/>
    <xf numFmtId="165" fontId="3" fillId="0" borderId="24" xfId="0" applyNumberFormat="1" applyFont="1" applyBorder="1"/>
    <xf numFmtId="14" fontId="3" fillId="2" borderId="4" xfId="0" applyNumberFormat="1" applyFont="1" applyFill="1" applyBorder="1"/>
    <xf numFmtId="164" fontId="5" fillId="2" borderId="0" xfId="1" applyFont="1" applyFill="1"/>
    <xf numFmtId="43" fontId="5" fillId="2" borderId="0" xfId="0" applyNumberFormat="1" applyFont="1" applyFill="1"/>
    <xf numFmtId="14" fontId="3" fillId="2" borderId="17" xfId="0" applyNumberFormat="1" applyFont="1" applyFill="1" applyBorder="1"/>
    <xf numFmtId="164" fontId="3" fillId="5" borderId="20" xfId="1" applyFont="1" applyFill="1" applyBorder="1"/>
    <xf numFmtId="0" fontId="14" fillId="2" borderId="8" xfId="1" applyNumberFormat="1" applyFont="1" applyFill="1" applyBorder="1"/>
    <xf numFmtId="0" fontId="7" fillId="2" borderId="15" xfId="0" applyFont="1" applyFill="1" applyBorder="1"/>
    <xf numFmtId="164" fontId="17" fillId="2" borderId="9" xfId="1" applyFont="1" applyFill="1" applyBorder="1"/>
    <xf numFmtId="0" fontId="14" fillId="2" borderId="10" xfId="1" applyNumberFormat="1" applyFont="1" applyFill="1" applyBorder="1"/>
    <xf numFmtId="164" fontId="17" fillId="2" borderId="11" xfId="1" applyFont="1" applyFill="1" applyBorder="1"/>
    <xf numFmtId="165" fontId="4" fillId="0" borderId="25" xfId="0" applyNumberFormat="1" applyFont="1" applyBorder="1"/>
    <xf numFmtId="0" fontId="14" fillId="2" borderId="13" xfId="1" applyNumberFormat="1" applyFont="1" applyFill="1" applyBorder="1"/>
    <xf numFmtId="164" fontId="7" fillId="2" borderId="12" xfId="1" applyFont="1" applyFill="1" applyBorder="1"/>
    <xf numFmtId="164" fontId="17" fillId="2" borderId="14" xfId="1" applyFont="1" applyFill="1" applyBorder="1"/>
    <xf numFmtId="0" fontId="3" fillId="0" borderId="17" xfId="0" applyFont="1" applyBorder="1"/>
    <xf numFmtId="165" fontId="4" fillId="0" borderId="26" xfId="0" applyNumberFormat="1" applyFont="1" applyBorder="1"/>
    <xf numFmtId="164" fontId="19" fillId="2" borderId="0" xfId="1" applyFont="1" applyFill="1"/>
    <xf numFmtId="164" fontId="17" fillId="2" borderId="0" xfId="1" applyFont="1" applyFill="1"/>
    <xf numFmtId="0" fontId="14" fillId="2" borderId="0" xfId="1" applyNumberFormat="1" applyFont="1" applyFill="1"/>
    <xf numFmtId="0" fontId="3" fillId="2" borderId="0" xfId="1" applyNumberFormat="1" applyFont="1" applyFill="1"/>
    <xf numFmtId="0" fontId="23" fillId="0" borderId="27" xfId="0" applyFont="1" applyBorder="1" applyAlignment="1">
      <alignment horizontal="left" vertical="center"/>
    </xf>
    <xf numFmtId="165" fontId="23" fillId="0" borderId="27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Alignment="1">
      <alignment horizontal="right" vertical="center"/>
    </xf>
    <xf numFmtId="0" fontId="23" fillId="0" borderId="28" xfId="0" applyFont="1" applyBorder="1" applyAlignment="1">
      <alignment horizontal="left" indent="1"/>
    </xf>
    <xf numFmtId="165" fontId="23" fillId="0" borderId="28" xfId="0" applyNumberFormat="1" applyFont="1" applyBorder="1" applyAlignment="1">
      <alignment horizontal="right" vertical="center"/>
    </xf>
    <xf numFmtId="0" fontId="23" fillId="0" borderId="28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6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right" wrapText="1"/>
    </xf>
    <xf numFmtId="0" fontId="16" fillId="6" borderId="0" xfId="0" applyFont="1" applyFill="1" applyAlignment="1">
      <alignment horizontal="left"/>
    </xf>
    <xf numFmtId="165" fontId="0" fillId="0" borderId="0" xfId="0" applyNumberFormat="1"/>
    <xf numFmtId="0" fontId="3" fillId="2" borderId="0" xfId="3" applyFont="1" applyFill="1"/>
    <xf numFmtId="0" fontId="14" fillId="2" borderId="12" xfId="0" applyFont="1" applyFill="1" applyBorder="1"/>
    <xf numFmtId="0" fontId="7" fillId="2" borderId="12" xfId="0" applyFont="1" applyFill="1" applyBorder="1"/>
    <xf numFmtId="0" fontId="14" fillId="2" borderId="12" xfId="0" applyFont="1" applyFill="1" applyBorder="1" applyAlignment="1">
      <alignment horizontal="center" vertical="center"/>
    </xf>
    <xf numFmtId="166" fontId="14" fillId="2" borderId="8" xfId="0" applyNumberFormat="1" applyFont="1" applyFill="1" applyBorder="1"/>
    <xf numFmtId="164" fontId="14" fillId="2" borderId="15" xfId="1" applyFont="1" applyFill="1" applyBorder="1"/>
    <xf numFmtId="164" fontId="14" fillId="2" borderId="9" xfId="1" applyFont="1" applyFill="1" applyBorder="1"/>
    <xf numFmtId="17" fontId="16" fillId="6" borderId="0" xfId="0" applyNumberFormat="1" applyFont="1" applyFill="1" applyAlignment="1">
      <alignment horizontal="right"/>
    </xf>
    <xf numFmtId="0" fontId="16" fillId="6" borderId="0" xfId="0" applyFont="1" applyFill="1" applyAlignment="1">
      <alignment horizontal="right"/>
    </xf>
    <xf numFmtId="0" fontId="26" fillId="0" borderId="0" xfId="0" applyFont="1" applyAlignment="1">
      <alignment horizontal="right"/>
    </xf>
    <xf numFmtId="0" fontId="9" fillId="0" borderId="0" xfId="0" applyFont="1"/>
    <xf numFmtId="0" fontId="22" fillId="0" borderId="0" xfId="3" applyFont="1"/>
    <xf numFmtId="0" fontId="16" fillId="6" borderId="0" xfId="3" applyFont="1" applyFill="1" applyAlignment="1">
      <alignment horizontal="left"/>
    </xf>
    <xf numFmtId="17" fontId="16" fillId="6" borderId="0" xfId="3" applyNumberFormat="1" applyFont="1" applyFill="1" applyAlignment="1">
      <alignment horizontal="right"/>
    </xf>
    <xf numFmtId="0" fontId="16" fillId="6" borderId="0" xfId="3" applyFont="1" applyFill="1" applyAlignment="1">
      <alignment horizontal="left" wrapText="1"/>
    </xf>
    <xf numFmtId="0" fontId="16" fillId="6" borderId="0" xfId="3" applyFont="1" applyFill="1" applyAlignment="1">
      <alignment horizontal="right" wrapText="1"/>
    </xf>
    <xf numFmtId="0" fontId="23" fillId="0" borderId="0" xfId="3" applyFont="1" applyAlignment="1">
      <alignment horizontal="left" vertical="center"/>
    </xf>
    <xf numFmtId="165" fontId="23" fillId="0" borderId="0" xfId="3" applyNumberFormat="1" applyFont="1" applyAlignment="1">
      <alignment horizontal="right" vertical="center"/>
    </xf>
    <xf numFmtId="0" fontId="23" fillId="0" borderId="0" xfId="3" applyFont="1" applyAlignment="1">
      <alignment horizontal="left" indent="1"/>
    </xf>
    <xf numFmtId="0" fontId="24" fillId="0" borderId="0" xfId="3" applyFont="1" applyAlignment="1">
      <alignment horizontal="left" indent="2"/>
    </xf>
    <xf numFmtId="165" fontId="24" fillId="0" borderId="0" xfId="3" applyNumberFormat="1" applyFont="1" applyAlignment="1">
      <alignment horizontal="right" vertical="center"/>
    </xf>
    <xf numFmtId="0" fontId="23" fillId="0" borderId="28" xfId="3" applyFont="1" applyBorder="1" applyAlignment="1">
      <alignment horizontal="left" indent="1"/>
    </xf>
    <xf numFmtId="165" fontId="23" fillId="0" borderId="28" xfId="3" applyNumberFormat="1" applyFont="1" applyBorder="1" applyAlignment="1">
      <alignment horizontal="right" vertical="center"/>
    </xf>
    <xf numFmtId="0" fontId="23" fillId="0" borderId="28" xfId="3" applyFont="1" applyBorder="1" applyAlignment="1">
      <alignment horizontal="left" vertical="center"/>
    </xf>
    <xf numFmtId="0" fontId="24" fillId="0" borderId="0" xfId="3" applyFont="1" applyAlignment="1">
      <alignment horizontal="left" indent="1"/>
    </xf>
    <xf numFmtId="0" fontId="23" fillId="0" borderId="27" xfId="3" applyFont="1" applyBorder="1" applyAlignment="1">
      <alignment horizontal="left" vertical="center"/>
    </xf>
    <xf numFmtId="165" fontId="23" fillId="0" borderId="27" xfId="3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 applyAlignment="1">
      <alignment horizontal="left" indent="1"/>
    </xf>
    <xf numFmtId="0" fontId="9" fillId="0" borderId="0" xfId="6"/>
    <xf numFmtId="0" fontId="16" fillId="6" borderId="0" xfId="6" applyFont="1" applyFill="1" applyAlignment="1">
      <alignment horizontal="left"/>
    </xf>
    <xf numFmtId="17" fontId="16" fillId="6" borderId="0" xfId="6" applyNumberFormat="1" applyFont="1" applyFill="1" applyAlignment="1">
      <alignment horizontal="right"/>
    </xf>
    <xf numFmtId="0" fontId="16" fillId="6" borderId="0" xfId="6" applyFont="1" applyFill="1" applyAlignment="1">
      <alignment horizontal="right"/>
    </xf>
    <xf numFmtId="0" fontId="23" fillId="0" borderId="27" xfId="6" applyFont="1" applyBorder="1" applyAlignment="1">
      <alignment horizontal="left" vertical="center"/>
    </xf>
    <xf numFmtId="165" fontId="23" fillId="0" borderId="27" xfId="6" applyNumberFormat="1" applyFont="1" applyBorder="1" applyAlignment="1">
      <alignment horizontal="right" vertical="center"/>
    </xf>
    <xf numFmtId="0" fontId="23" fillId="0" borderId="0" xfId="6" applyFont="1" applyAlignment="1">
      <alignment horizontal="left" vertical="center"/>
    </xf>
    <xf numFmtId="165" fontId="23" fillId="0" borderId="0" xfId="6" applyNumberFormat="1" applyFont="1" applyAlignment="1">
      <alignment horizontal="right" vertical="center"/>
    </xf>
    <xf numFmtId="0" fontId="23" fillId="0" borderId="0" xfId="6" applyFont="1" applyAlignment="1">
      <alignment horizontal="left" indent="1"/>
    </xf>
    <xf numFmtId="0" fontId="24" fillId="0" borderId="0" xfId="6" applyFont="1" applyAlignment="1">
      <alignment horizontal="left" indent="2"/>
    </xf>
    <xf numFmtId="165" fontId="24" fillId="0" borderId="0" xfId="6" applyNumberFormat="1" applyFont="1" applyAlignment="1">
      <alignment horizontal="right" vertical="center"/>
    </xf>
    <xf numFmtId="0" fontId="23" fillId="0" borderId="28" xfId="6" applyFont="1" applyBorder="1" applyAlignment="1">
      <alignment horizontal="left" indent="1"/>
    </xf>
    <xf numFmtId="165" fontId="23" fillId="0" borderId="28" xfId="6" applyNumberFormat="1" applyFont="1" applyBorder="1" applyAlignment="1">
      <alignment horizontal="right" vertical="center"/>
    </xf>
    <xf numFmtId="0" fontId="23" fillId="0" borderId="28" xfId="6" applyFont="1" applyBorder="1" applyAlignment="1">
      <alignment horizontal="left" vertical="center"/>
    </xf>
    <xf numFmtId="0" fontId="7" fillId="2" borderId="4" xfId="0" applyFont="1" applyFill="1" applyBorder="1"/>
    <xf numFmtId="165" fontId="4" fillId="0" borderId="16" xfId="0" applyNumberFormat="1" applyFont="1" applyBorder="1" applyAlignment="1">
      <alignment horizontal="center"/>
    </xf>
    <xf numFmtId="165" fontId="14" fillId="0" borderId="0" xfId="0" applyNumberFormat="1" applyFont="1"/>
    <xf numFmtId="0" fontId="9" fillId="0" borderId="0" xfId="3" applyAlignment="1">
      <alignment wrapText="1"/>
    </xf>
    <xf numFmtId="165" fontId="4" fillId="2" borderId="6" xfId="0" quotePrefix="1" applyNumberFormat="1" applyFont="1" applyFill="1" applyBorder="1" applyAlignment="1">
      <alignment horizontal="center"/>
    </xf>
    <xf numFmtId="165" fontId="9" fillId="0" borderId="0" xfId="6" applyNumberFormat="1"/>
    <xf numFmtId="166" fontId="6" fillId="0" borderId="2" xfId="0" applyNumberFormat="1" applyFont="1" applyBorder="1"/>
    <xf numFmtId="166" fontId="6" fillId="0" borderId="7" xfId="0" applyNumberFormat="1" applyFont="1" applyBorder="1"/>
    <xf numFmtId="166" fontId="8" fillId="0" borderId="19" xfId="0" applyNumberFormat="1" applyFont="1" applyBorder="1"/>
    <xf numFmtId="166" fontId="6" fillId="0" borderId="18" xfId="0" applyNumberFormat="1" applyFont="1" applyBorder="1"/>
    <xf numFmtId="1" fontId="0" fillId="0" borderId="0" xfId="0" applyNumberFormat="1" applyAlignment="1">
      <alignment horizontal="center"/>
    </xf>
    <xf numFmtId="0" fontId="16" fillId="6" borderId="0" xfId="3" applyFont="1" applyFill="1" applyAlignment="1">
      <alignment horizontal="right"/>
    </xf>
    <xf numFmtId="0" fontId="44" fillId="0" borderId="0" xfId="0" applyFont="1" applyAlignment="1">
      <alignment horizontal="left" indent="2"/>
    </xf>
    <xf numFmtId="165" fontId="44" fillId="0" borderId="0" xfId="0" applyNumberFormat="1" applyFont="1" applyAlignment="1">
      <alignment horizontal="right" vertical="center"/>
    </xf>
    <xf numFmtId="0" fontId="24" fillId="5" borderId="0" xfId="0" applyFont="1" applyFill="1" applyAlignment="1">
      <alignment horizontal="left" indent="2"/>
    </xf>
    <xf numFmtId="165" fontId="24" fillId="5" borderId="0" xfId="0" applyNumberFormat="1" applyFont="1" applyFill="1" applyAlignment="1">
      <alignment horizontal="right" vertical="center"/>
    </xf>
    <xf numFmtId="44" fontId="0" fillId="0" borderId="0" xfId="70" applyFont="1"/>
    <xf numFmtId="169" fontId="0" fillId="0" borderId="0" xfId="1" applyNumberFormat="1" applyFont="1"/>
    <xf numFmtId="0" fontId="13" fillId="0" borderId="6" xfId="0" applyFont="1" applyBorder="1" applyAlignment="1">
      <alignment wrapText="1"/>
    </xf>
    <xf numFmtId="44" fontId="13" fillId="5" borderId="6" xfId="70" applyFont="1" applyFill="1" applyBorder="1" applyAlignment="1">
      <alignment wrapText="1"/>
    </xf>
    <xf numFmtId="169" fontId="13" fillId="36" borderId="6" xfId="46" applyNumberFormat="1" applyFont="1" applyBorder="1" applyAlignment="1">
      <alignment horizontal="center" wrapText="1"/>
    </xf>
    <xf numFmtId="169" fontId="13" fillId="0" borderId="6" xfId="1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44" fontId="19" fillId="5" borderId="6" xfId="70" applyFont="1" applyFill="1" applyBorder="1" applyAlignment="1">
      <alignment wrapText="1"/>
    </xf>
    <xf numFmtId="169" fontId="1" fillId="36" borderId="6" xfId="46" applyNumberFormat="1" applyBorder="1" applyAlignment="1">
      <alignment horizontal="right" wrapText="1"/>
    </xf>
    <xf numFmtId="169" fontId="0" fillId="0" borderId="6" xfId="1" applyNumberFormat="1" applyFont="1" applyBorder="1" applyAlignment="1">
      <alignment horizontal="right" wrapText="1"/>
    </xf>
    <xf numFmtId="0" fontId="0" fillId="0" borderId="6" xfId="0" applyBorder="1"/>
    <xf numFmtId="169" fontId="1" fillId="36" borderId="6" xfId="46" applyNumberFormat="1" applyBorder="1" applyAlignment="1">
      <alignment horizontal="right"/>
    </xf>
    <xf numFmtId="169" fontId="0" fillId="0" borderId="6" xfId="1" applyNumberFormat="1" applyFont="1" applyBorder="1" applyAlignment="1">
      <alignment horizontal="right"/>
    </xf>
    <xf numFmtId="44" fontId="0" fillId="5" borderId="0" xfId="70" applyFont="1" applyFill="1"/>
    <xf numFmtId="169" fontId="1" fillId="36" borderId="0" xfId="46" applyNumberFormat="1" applyAlignment="1">
      <alignment horizontal="right"/>
    </xf>
    <xf numFmtId="169" fontId="0" fillId="0" borderId="0" xfId="1" applyNumberFormat="1" applyFont="1" applyAlignment="1">
      <alignment horizontal="right"/>
    </xf>
    <xf numFmtId="0" fontId="0" fillId="0" borderId="38" xfId="0" applyBorder="1"/>
    <xf numFmtId="169" fontId="1" fillId="36" borderId="14" xfId="46" applyNumberFormat="1" applyBorder="1" applyAlignment="1">
      <alignment horizontal="right"/>
    </xf>
    <xf numFmtId="169" fontId="0" fillId="0" borderId="38" xfId="1" applyNumberFormat="1" applyFont="1" applyBorder="1" applyAlignment="1">
      <alignment horizontal="right"/>
    </xf>
    <xf numFmtId="0" fontId="13" fillId="0" borderId="6" xfId="0" applyFont="1" applyBorder="1"/>
    <xf numFmtId="44" fontId="13" fillId="5" borderId="6" xfId="70" applyFont="1" applyFill="1" applyBorder="1"/>
    <xf numFmtId="169" fontId="13" fillId="36" borderId="6" xfId="46" applyNumberFormat="1" applyFont="1" applyBorder="1" applyAlignment="1">
      <alignment horizontal="right"/>
    </xf>
    <xf numFmtId="169" fontId="13" fillId="0" borderId="6" xfId="1" applyNumberFormat="1" applyFont="1" applyBorder="1" applyAlignment="1">
      <alignment horizontal="right"/>
    </xf>
    <xf numFmtId="169" fontId="0" fillId="38" borderId="6" xfId="1" applyNumberFormat="1" applyFont="1" applyFill="1" applyBorder="1"/>
    <xf numFmtId="169" fontId="0" fillId="0" borderId="6" xfId="1" applyNumberFormat="1" applyFont="1" applyBorder="1"/>
    <xf numFmtId="169" fontId="0" fillId="0" borderId="6" xfId="1" applyNumberFormat="1" applyFont="1" applyFill="1" applyBorder="1" applyAlignment="1">
      <alignment horizontal="right"/>
    </xf>
    <xf numFmtId="0" fontId="13" fillId="0" borderId="39" xfId="0" applyFont="1" applyBorder="1"/>
    <xf numFmtId="44" fontId="13" fillId="5" borderId="39" xfId="70" applyFont="1" applyFill="1" applyBorder="1"/>
    <xf numFmtId="169" fontId="13" fillId="38" borderId="39" xfId="1" applyNumberFormat="1" applyFont="1" applyFill="1" applyBorder="1"/>
    <xf numFmtId="169" fontId="13" fillId="0" borderId="39" xfId="1" applyNumberFormat="1" applyFont="1" applyBorder="1"/>
    <xf numFmtId="169" fontId="13" fillId="0" borderId="39" xfId="1" applyNumberFormat="1" applyFont="1" applyFill="1" applyBorder="1" applyAlignment="1">
      <alignment horizontal="right"/>
    </xf>
    <xf numFmtId="0" fontId="13" fillId="0" borderId="0" xfId="0" applyFont="1"/>
    <xf numFmtId="44" fontId="13" fillId="0" borderId="0" xfId="70" applyFont="1"/>
    <xf numFmtId="169" fontId="13" fillId="0" borderId="0" xfId="1" applyNumberFormat="1" applyFont="1" applyBorder="1"/>
    <xf numFmtId="169" fontId="13" fillId="0" borderId="0" xfId="1" applyNumberFormat="1" applyFont="1" applyBorder="1" applyAlignment="1">
      <alignment horizontal="right"/>
    </xf>
    <xf numFmtId="169" fontId="13" fillId="0" borderId="0" xfId="1" applyNumberFormat="1" applyFont="1"/>
    <xf numFmtId="169" fontId="13" fillId="0" borderId="0" xfId="1" applyNumberFormat="1" applyFont="1" applyFill="1" applyBorder="1" applyAlignment="1">
      <alignment horizontal="right"/>
    </xf>
    <xf numFmtId="169" fontId="13" fillId="0" borderId="0" xfId="1" applyNumberFormat="1" applyFont="1" applyFill="1"/>
    <xf numFmtId="165" fontId="4" fillId="0" borderId="6" xfId="0" quotePrefix="1" applyNumberFormat="1" applyFont="1" applyBorder="1" applyAlignment="1">
      <alignment horizontal="center"/>
    </xf>
    <xf numFmtId="0" fontId="44" fillId="5" borderId="0" xfId="0" applyFont="1" applyFill="1" applyAlignment="1">
      <alignment horizontal="left" indent="2"/>
    </xf>
    <xf numFmtId="0" fontId="47" fillId="6" borderId="0" xfId="0" applyFont="1" applyFill="1" applyAlignment="1">
      <alignment horizontal="left"/>
    </xf>
    <xf numFmtId="17" fontId="47" fillId="6" borderId="0" xfId="0" applyNumberFormat="1" applyFont="1" applyFill="1" applyAlignment="1">
      <alignment horizontal="right"/>
    </xf>
    <xf numFmtId="0" fontId="47" fillId="6" borderId="0" xfId="0" applyFont="1" applyFill="1" applyAlignment="1">
      <alignment horizontal="right"/>
    </xf>
    <xf numFmtId="0" fontId="48" fillId="0" borderId="27" xfId="0" applyFont="1" applyBorder="1" applyAlignment="1">
      <alignment horizontal="left" vertical="center"/>
    </xf>
    <xf numFmtId="165" fontId="48" fillId="0" borderId="27" xfId="0" applyNumberFormat="1" applyFont="1" applyBorder="1" applyAlignment="1">
      <alignment horizontal="right" vertical="center"/>
    </xf>
    <xf numFmtId="0" fontId="48" fillId="0" borderId="0" xfId="0" applyFont="1" applyAlignment="1">
      <alignment horizontal="left" vertical="center"/>
    </xf>
    <xf numFmtId="165" fontId="48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left" indent="1"/>
    </xf>
    <xf numFmtId="0" fontId="48" fillId="0" borderId="28" xfId="0" applyFont="1" applyBorder="1" applyAlignment="1">
      <alignment horizontal="left" indent="1"/>
    </xf>
    <xf numFmtId="165" fontId="48" fillId="0" borderId="28" xfId="0" applyNumberFormat="1" applyFont="1" applyBorder="1" applyAlignment="1">
      <alignment horizontal="right" vertical="center"/>
    </xf>
    <xf numFmtId="0" fontId="48" fillId="0" borderId="28" xfId="0" applyFont="1" applyBorder="1" applyAlignment="1">
      <alignment horizontal="left" vertical="center"/>
    </xf>
    <xf numFmtId="165" fontId="44" fillId="5" borderId="0" xfId="0" applyNumberFormat="1" applyFont="1" applyFill="1" applyAlignment="1">
      <alignment horizontal="right" vertical="center"/>
    </xf>
    <xf numFmtId="0" fontId="26" fillId="0" borderId="0" xfId="0" applyFont="1" applyAlignment="1">
      <alignment wrapText="1"/>
    </xf>
    <xf numFmtId="1" fontId="0" fillId="0" borderId="0" xfId="0" applyNumberFormat="1" applyAlignment="1">
      <alignment horizontal="center" wrapText="1"/>
    </xf>
    <xf numFmtId="0" fontId="43" fillId="0" borderId="0" xfId="69"/>
    <xf numFmtId="164" fontId="6" fillId="0" borderId="0" xfId="1" applyFont="1" applyFill="1"/>
    <xf numFmtId="169" fontId="0" fillId="0" borderId="0" xfId="1" applyNumberFormat="1" applyFont="1" applyFill="1"/>
    <xf numFmtId="0" fontId="13" fillId="0" borderId="6" xfId="0" applyFont="1" applyBorder="1" applyAlignment="1">
      <alignment horizontal="center" wrapText="1"/>
    </xf>
    <xf numFmtId="169" fontId="13" fillId="0" borderId="6" xfId="1" applyNumberFormat="1" applyFont="1" applyFill="1" applyBorder="1" applyAlignment="1">
      <alignment horizontal="center" wrapText="1"/>
    </xf>
    <xf numFmtId="9" fontId="0" fillId="0" borderId="6" xfId="2" applyFont="1" applyBorder="1" applyAlignment="1">
      <alignment wrapText="1"/>
    </xf>
    <xf numFmtId="8" fontId="19" fillId="5" borderId="6" xfId="70" applyNumberFormat="1" applyFont="1" applyFill="1" applyBorder="1" applyAlignment="1">
      <alignment wrapText="1"/>
    </xf>
    <xf numFmtId="8" fontId="0" fillId="0" borderId="6" xfId="1" applyNumberFormat="1" applyFont="1" applyFill="1" applyBorder="1" applyAlignment="1">
      <alignment horizontal="right" wrapText="1"/>
    </xf>
    <xf numFmtId="8" fontId="1" fillId="36" borderId="6" xfId="46" applyNumberFormat="1" applyBorder="1" applyAlignment="1">
      <alignment horizontal="right" wrapText="1"/>
    </xf>
    <xf numFmtId="8" fontId="0" fillId="0" borderId="6" xfId="1" applyNumberFormat="1" applyFont="1" applyBorder="1" applyAlignment="1">
      <alignment horizontal="right" wrapText="1"/>
    </xf>
    <xf numFmtId="44" fontId="7" fillId="5" borderId="6" xfId="70" applyFont="1" applyFill="1" applyBorder="1" applyAlignment="1">
      <alignment wrapText="1"/>
    </xf>
    <xf numFmtId="8" fontId="7" fillId="5" borderId="6" xfId="70" applyNumberFormat="1" applyFont="1" applyFill="1" applyBorder="1" applyAlignment="1">
      <alignment wrapText="1"/>
    </xf>
    <xf numFmtId="8" fontId="0" fillId="0" borderId="6" xfId="1" applyNumberFormat="1" applyFont="1" applyFill="1" applyBorder="1" applyAlignment="1">
      <alignment horizontal="right"/>
    </xf>
    <xf numFmtId="8" fontId="1" fillId="36" borderId="6" xfId="46" applyNumberFormat="1" applyBorder="1" applyAlignment="1">
      <alignment horizontal="right"/>
    </xf>
    <xf numFmtId="8" fontId="0" fillId="0" borderId="6" xfId="1" applyNumberFormat="1" applyFont="1" applyBorder="1" applyAlignment="1">
      <alignment horizontal="right"/>
    </xf>
    <xf numFmtId="8" fontId="0" fillId="5" borderId="0" xfId="70" applyNumberFormat="1" applyFont="1" applyFill="1"/>
    <xf numFmtId="8" fontId="0" fillId="0" borderId="0" xfId="1" applyNumberFormat="1" applyFont="1" applyFill="1" applyAlignment="1">
      <alignment horizontal="right"/>
    </xf>
    <xf numFmtId="8" fontId="1" fillId="36" borderId="0" xfId="46" applyNumberFormat="1" applyAlignment="1">
      <alignment horizontal="right"/>
    </xf>
    <xf numFmtId="8" fontId="0" fillId="0" borderId="0" xfId="1" applyNumberFormat="1" applyFont="1" applyAlignment="1">
      <alignment horizontal="right"/>
    </xf>
    <xf numFmtId="9" fontId="0" fillId="0" borderId="38" xfId="2" applyFont="1" applyBorder="1"/>
    <xf numFmtId="8" fontId="0" fillId="0" borderId="38" xfId="1" applyNumberFormat="1" applyFont="1" applyFill="1" applyBorder="1" applyAlignment="1">
      <alignment horizontal="right"/>
    </xf>
    <xf numFmtId="8" fontId="1" fillId="36" borderId="14" xfId="46" applyNumberFormat="1" applyBorder="1" applyAlignment="1">
      <alignment horizontal="right"/>
    </xf>
    <xf numFmtId="8" fontId="0" fillId="0" borderId="38" xfId="1" applyNumberFormat="1" applyFont="1" applyBorder="1" applyAlignment="1">
      <alignment horizontal="right"/>
    </xf>
    <xf numFmtId="9" fontId="0" fillId="0" borderId="6" xfId="2" applyFont="1" applyBorder="1"/>
    <xf numFmtId="9" fontId="13" fillId="0" borderId="6" xfId="2" applyFont="1" applyBorder="1"/>
    <xf numFmtId="8" fontId="13" fillId="5" borderId="6" xfId="70" applyNumberFormat="1" applyFont="1" applyFill="1" applyBorder="1"/>
    <xf numFmtId="8" fontId="13" fillId="0" borderId="6" xfId="1" applyNumberFormat="1" applyFont="1" applyFill="1" applyBorder="1" applyAlignment="1">
      <alignment horizontal="right"/>
    </xf>
    <xf numFmtId="8" fontId="13" fillId="36" borderId="6" xfId="46" applyNumberFormat="1" applyFont="1" applyBorder="1" applyAlignment="1">
      <alignment horizontal="right"/>
    </xf>
    <xf numFmtId="8" fontId="13" fillId="0" borderId="6" xfId="1" applyNumberFormat="1" applyFont="1" applyBorder="1" applyAlignment="1">
      <alignment horizontal="right"/>
    </xf>
    <xf numFmtId="8" fontId="0" fillId="38" borderId="6" xfId="1" applyNumberFormat="1" applyFont="1" applyFill="1" applyBorder="1"/>
    <xf numFmtId="0" fontId="14" fillId="2" borderId="0" xfId="0" applyFont="1" applyFill="1"/>
    <xf numFmtId="0" fontId="13" fillId="0" borderId="40" xfId="0" applyFont="1" applyBorder="1"/>
    <xf numFmtId="9" fontId="13" fillId="0" borderId="40" xfId="2" applyFont="1" applyBorder="1" applyAlignment="1">
      <alignment wrapText="1"/>
    </xf>
    <xf numFmtId="44" fontId="14" fillId="5" borderId="40" xfId="70" applyFont="1" applyFill="1" applyBorder="1" applyAlignment="1">
      <alignment wrapText="1"/>
    </xf>
    <xf numFmtId="8" fontId="13" fillId="0" borderId="40" xfId="1" applyNumberFormat="1" applyFont="1" applyFill="1" applyBorder="1" applyAlignment="1">
      <alignment horizontal="right"/>
    </xf>
    <xf numFmtId="8" fontId="13" fillId="38" borderId="40" xfId="1" applyNumberFormat="1" applyFont="1" applyFill="1" applyBorder="1"/>
    <xf numFmtId="8" fontId="13" fillId="0" borderId="40" xfId="1" applyNumberFormat="1" applyFont="1" applyBorder="1" applyAlignment="1">
      <alignment horizontal="right"/>
    </xf>
    <xf numFmtId="169" fontId="13" fillId="0" borderId="40" xfId="1" applyNumberFormat="1" applyFont="1" applyBorder="1"/>
    <xf numFmtId="169" fontId="13" fillId="38" borderId="40" xfId="1" applyNumberFormat="1" applyFont="1" applyFill="1" applyBorder="1"/>
    <xf numFmtId="169" fontId="13" fillId="0" borderId="40" xfId="1" applyNumberFormat="1" applyFont="1" applyFill="1" applyBorder="1" applyAlignment="1">
      <alignment horizontal="right"/>
    </xf>
    <xf numFmtId="0" fontId="0" fillId="0" borderId="40" xfId="0" applyBorder="1"/>
    <xf numFmtId="9" fontId="0" fillId="0" borderId="40" xfId="2" applyFont="1" applyBorder="1" applyAlignment="1">
      <alignment wrapText="1"/>
    </xf>
    <xf numFmtId="44" fontId="7" fillId="5" borderId="40" xfId="70" applyFont="1" applyFill="1" applyBorder="1" applyAlignment="1">
      <alignment wrapText="1"/>
    </xf>
    <xf numFmtId="8" fontId="19" fillId="5" borderId="40" xfId="70" applyNumberFormat="1" applyFont="1" applyFill="1" applyBorder="1" applyAlignment="1">
      <alignment wrapText="1"/>
    </xf>
    <xf numFmtId="8" fontId="7" fillId="5" borderId="40" xfId="70" applyNumberFormat="1" applyFont="1" applyFill="1" applyBorder="1" applyAlignment="1">
      <alignment wrapText="1"/>
    </xf>
    <xf numFmtId="8" fontId="0" fillId="0" borderId="40" xfId="1" applyNumberFormat="1" applyFont="1" applyFill="1" applyBorder="1" applyAlignment="1">
      <alignment horizontal="right"/>
    </xf>
    <xf numFmtId="8" fontId="0" fillId="38" borderId="40" xfId="1" applyNumberFormat="1" applyFont="1" applyFill="1" applyBorder="1"/>
    <xf numFmtId="8" fontId="0" fillId="0" borderId="40" xfId="1" applyNumberFormat="1" applyFont="1" applyBorder="1" applyAlignment="1">
      <alignment horizontal="right"/>
    </xf>
    <xf numFmtId="169" fontId="0" fillId="0" borderId="40" xfId="1" applyNumberFormat="1" applyFont="1" applyBorder="1"/>
    <xf numFmtId="169" fontId="0" fillId="38" borderId="40" xfId="1" applyNumberFormat="1" applyFont="1" applyFill="1" applyBorder="1"/>
    <xf numFmtId="169" fontId="0" fillId="0" borderId="40" xfId="1" applyNumberFormat="1" applyFont="1" applyFill="1" applyBorder="1" applyAlignment="1">
      <alignment horizontal="right"/>
    </xf>
    <xf numFmtId="9" fontId="13" fillId="0" borderId="39" xfId="0" applyNumberFormat="1" applyFont="1" applyBorder="1"/>
    <xf numFmtId="8" fontId="13" fillId="5" borderId="39" xfId="70" applyNumberFormat="1" applyFont="1" applyFill="1" applyBorder="1"/>
    <xf numFmtId="8" fontId="13" fillId="0" borderId="39" xfId="1" applyNumberFormat="1" applyFont="1" applyFill="1" applyBorder="1" applyAlignment="1">
      <alignment horizontal="right"/>
    </xf>
    <xf numFmtId="8" fontId="13" fillId="38" borderId="39" xfId="1" applyNumberFormat="1" applyFont="1" applyFill="1" applyBorder="1"/>
    <xf numFmtId="8" fontId="13" fillId="0" borderId="39" xfId="1" applyNumberFormat="1" applyFont="1" applyBorder="1" applyAlignment="1">
      <alignment horizontal="right"/>
    </xf>
    <xf numFmtId="44" fontId="13" fillId="0" borderId="6" xfId="70" quotePrefix="1" applyFont="1" applyBorder="1" applyAlignment="1">
      <alignment horizontal="center"/>
    </xf>
    <xf numFmtId="169" fontId="13" fillId="0" borderId="6" xfId="1" quotePrefix="1" applyNumberFormat="1" applyFont="1" applyFill="1" applyBorder="1" applyAlignment="1">
      <alignment horizontal="center" wrapText="1"/>
    </xf>
    <xf numFmtId="169" fontId="13" fillId="0" borderId="6" xfId="1" quotePrefix="1" applyNumberFormat="1" applyFont="1" applyFill="1" applyBorder="1" applyAlignment="1">
      <alignment horizontal="center"/>
    </xf>
    <xf numFmtId="169" fontId="13" fillId="0" borderId="6" xfId="1" applyNumberFormat="1" applyFont="1" applyBorder="1" applyAlignment="1">
      <alignment horizontal="center"/>
    </xf>
    <xf numFmtId="169" fontId="13" fillId="0" borderId="6" xfId="1" quotePrefix="1" applyNumberFormat="1" applyFont="1" applyBorder="1" applyAlignment="1">
      <alignment horizontal="center"/>
    </xf>
    <xf numFmtId="169" fontId="0" fillId="0" borderId="0" xfId="1" applyNumberFormat="1" applyFont="1" applyAlignment="1">
      <alignment horizontal="center"/>
    </xf>
    <xf numFmtId="0" fontId="26" fillId="0" borderId="28" xfId="0" applyFont="1" applyBorder="1" applyAlignment="1">
      <alignment horizontal="left" indent="1"/>
    </xf>
    <xf numFmtId="167" fontId="0" fillId="0" borderId="6" xfId="70" applyNumberFormat="1" applyFont="1" applyBorder="1"/>
    <xf numFmtId="167" fontId="0" fillId="0" borderId="6" xfId="1" applyNumberFormat="1" applyFont="1" applyFill="1" applyBorder="1"/>
    <xf numFmtId="167" fontId="0" fillId="0" borderId="6" xfId="1" applyNumberFormat="1" applyFont="1" applyBorder="1"/>
    <xf numFmtId="6" fontId="0" fillId="0" borderId="6" xfId="1" applyNumberFormat="1" applyFont="1" applyFill="1" applyBorder="1"/>
    <xf numFmtId="6" fontId="0" fillId="0" borderId="6" xfId="1" applyNumberFormat="1" applyFont="1" applyBorder="1"/>
    <xf numFmtId="0" fontId="26" fillId="0" borderId="28" xfId="0" applyFont="1" applyBorder="1" applyAlignment="1">
      <alignment horizontal="left" vertical="center"/>
    </xf>
    <xf numFmtId="9" fontId="0" fillId="0" borderId="6" xfId="2" applyFont="1" applyFill="1" applyBorder="1"/>
    <xf numFmtId="9" fontId="19" fillId="0" borderId="6" xfId="2" applyFont="1" applyBorder="1"/>
    <xf numFmtId="9" fontId="7" fillId="0" borderId="6" xfId="2" applyFont="1" applyFill="1" applyBorder="1"/>
    <xf numFmtId="9" fontId="19" fillId="0" borderId="6" xfId="2" applyFont="1" applyFill="1" applyBorder="1"/>
    <xf numFmtId="44" fontId="0" fillId="0" borderId="6" xfId="70" applyFont="1" applyBorder="1"/>
    <xf numFmtId="169" fontId="0" fillId="0" borderId="6" xfId="1" applyNumberFormat="1" applyFont="1" applyFill="1" applyBorder="1"/>
    <xf numFmtId="8" fontId="0" fillId="0" borderId="0" xfId="0" applyNumberFormat="1"/>
    <xf numFmtId="0" fontId="24" fillId="0" borderId="0" xfId="0" applyFont="1" applyAlignment="1" applyProtection="1">
      <alignment horizontal="left" indent="2"/>
      <protection locked="0"/>
    </xf>
    <xf numFmtId="165" fontId="24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4" fillId="0" borderId="0" xfId="0" applyFont="1" applyAlignment="1" applyProtection="1">
      <alignment horizontal="left" indent="1"/>
      <protection locked="0"/>
    </xf>
    <xf numFmtId="9" fontId="23" fillId="0" borderId="0" xfId="2" applyFont="1" applyFill="1" applyBorder="1" applyAlignment="1">
      <alignment horizontal="right" vertical="center"/>
    </xf>
    <xf numFmtId="165" fontId="0" fillId="0" borderId="0" xfId="0" applyNumberFormat="1" applyProtection="1">
      <protection locked="0"/>
    </xf>
    <xf numFmtId="9" fontId="49" fillId="0" borderId="0" xfId="71" applyFont="1" applyBorder="1" applyAlignment="1">
      <alignment horizontal="right" vertical="center"/>
    </xf>
    <xf numFmtId="8" fontId="14" fillId="5" borderId="40" xfId="70" applyNumberFormat="1" applyFont="1" applyFill="1" applyBorder="1" applyAlignment="1">
      <alignment wrapText="1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5" fillId="0" borderId="0" xfId="3" applyFont="1" applyAlignment="1">
      <alignment horizontal="center"/>
    </xf>
    <xf numFmtId="0" fontId="22" fillId="0" borderId="0" xfId="3" applyFont="1" applyAlignment="1">
      <alignment horizontal="center"/>
    </xf>
    <xf numFmtId="0" fontId="25" fillId="0" borderId="0" xfId="6" applyFont="1" applyAlignment="1">
      <alignment horizontal="center"/>
    </xf>
    <xf numFmtId="0" fontId="22" fillId="0" borderId="0" xfId="6" applyFont="1" applyAlignment="1">
      <alignment horizontal="center"/>
    </xf>
  </cellXfs>
  <cellStyles count="72">
    <cellStyle name="20% - Accent1" xfId="25" builtinId="30" customBuiltin="1"/>
    <cellStyle name="20% - Accent1 2" xfId="51" xr:uid="{B03B5283-96B2-4102-B636-9F3959966C51}"/>
    <cellStyle name="20% - Accent2" xfId="29" builtinId="34" customBuiltin="1"/>
    <cellStyle name="20% - Accent2 2" xfId="54" xr:uid="{320E34B7-8832-480C-83BF-1F926A8E959F}"/>
    <cellStyle name="20% - Accent3" xfId="33" builtinId="38" customBuiltin="1"/>
    <cellStyle name="20% - Accent3 2" xfId="57" xr:uid="{C32A8612-2684-4624-BA80-A6B478C9AEBD}"/>
    <cellStyle name="20% - Accent4" xfId="37" builtinId="42" customBuiltin="1"/>
    <cellStyle name="20% - Accent4 2" xfId="60" xr:uid="{58FDF874-F536-420E-B514-FAA1A111BAE1}"/>
    <cellStyle name="20% - Accent5" xfId="41" builtinId="46" customBuiltin="1"/>
    <cellStyle name="20% - Accent5 2" xfId="63" xr:uid="{5C473F9F-D19E-484A-AAAC-6FB1211B47F1}"/>
    <cellStyle name="20% - Accent6" xfId="45" builtinId="50" customBuiltin="1"/>
    <cellStyle name="20% - Accent6 2" xfId="66" xr:uid="{027B2E93-0DBE-40FC-9570-642631781A93}"/>
    <cellStyle name="40% - Accent1" xfId="26" builtinId="31" customBuiltin="1"/>
    <cellStyle name="40% - Accent1 2" xfId="52" xr:uid="{F8ABCEEA-F7E3-4435-8D30-62F8CC3122D0}"/>
    <cellStyle name="40% - Accent2" xfId="30" builtinId="35" customBuiltin="1"/>
    <cellStyle name="40% - Accent2 2" xfId="55" xr:uid="{6A2FF93D-D208-4C41-8BBF-FE3F013B6432}"/>
    <cellStyle name="40% - Accent3" xfId="34" builtinId="39" customBuiltin="1"/>
    <cellStyle name="40% - Accent3 2" xfId="58" xr:uid="{3568CADD-F383-4885-A759-82D84AED7E16}"/>
    <cellStyle name="40% - Accent4" xfId="38" builtinId="43" customBuiltin="1"/>
    <cellStyle name="40% - Accent4 2" xfId="61" xr:uid="{E93160B9-3E4B-48AA-BE25-3639D91D783C}"/>
    <cellStyle name="40% - Accent5" xfId="42" builtinId="47" customBuiltin="1"/>
    <cellStyle name="40% - Accent5 2" xfId="64" xr:uid="{A36535B2-94C8-4D7F-AC91-3AF2B7488CF0}"/>
    <cellStyle name="40% - Accent6" xfId="46" builtinId="51" customBuiltin="1"/>
    <cellStyle name="40% - Accent6 2" xfId="67" xr:uid="{3A877E23-74D1-4D95-B1A3-0EEE29DC3E71}"/>
    <cellStyle name="60% - Accent1" xfId="27" builtinId="32" customBuiltin="1"/>
    <cellStyle name="60% - Accent1 2" xfId="53" xr:uid="{DF15566F-1DA4-4343-91F6-CE4B3CED6C0F}"/>
    <cellStyle name="60% - Accent2" xfId="31" builtinId="36" customBuiltin="1"/>
    <cellStyle name="60% - Accent2 2" xfId="56" xr:uid="{F1743E1D-2D27-4E94-B2E3-1AF4C68273C7}"/>
    <cellStyle name="60% - Accent3" xfId="35" builtinId="40" customBuiltin="1"/>
    <cellStyle name="60% - Accent3 2" xfId="59" xr:uid="{F29D9AE0-3475-48DC-A225-D04CF8305898}"/>
    <cellStyle name="60% - Accent4" xfId="39" builtinId="44" customBuiltin="1"/>
    <cellStyle name="60% - Accent4 2" xfId="62" xr:uid="{A336819A-FF6C-4E8D-A71D-E235C86F7466}"/>
    <cellStyle name="60% - Accent5" xfId="43" builtinId="48" customBuiltin="1"/>
    <cellStyle name="60% - Accent5 2" xfId="65" xr:uid="{6A7FDF2B-6E92-4012-BF6E-CC423AF2904A}"/>
    <cellStyle name="60% - Accent6" xfId="47" builtinId="52" customBuiltin="1"/>
    <cellStyle name="60% - Accent6 2" xfId="68" xr:uid="{9D926079-4E6D-4A51-B7C6-522D94AA3AF2}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FF8D93E5-83D1-4145-9840-F1F9C26FA3CB}"/>
    <cellStyle name="Currency" xfId="70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69" xr:uid="{53EFEDF8-E1EC-44B9-B5A3-1D1150351C04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1" xfId="6" xr:uid="{480A0066-41F7-4A9A-A965-C07B2430901C}"/>
    <cellStyle name="Normal 13" xfId="5" xr:uid="{622E241D-E006-6145-BC72-A0DB5D515727}"/>
    <cellStyle name="Normal 2" xfId="3" xr:uid="{3A2A3EF9-B8F3-2544-BC48-7EAB02A36178}"/>
    <cellStyle name="Normal 3" xfId="7" xr:uid="{14D49719-21FB-439B-BEBC-62FAAC729A9E}"/>
    <cellStyle name="Normal 4" xfId="48" xr:uid="{B1014B15-DB0F-4C33-89FB-3E072670EAB4}"/>
    <cellStyle name="Note 2" xfId="50" xr:uid="{BCBDE746-F896-499A-825D-26F3864B3A2C}"/>
    <cellStyle name="Note 3" xfId="49" xr:uid="{E42D991E-7A70-409B-AF0E-C503A3423202}"/>
    <cellStyle name="Output" xfId="17" builtinId="21" customBuiltin="1"/>
    <cellStyle name="Percent" xfId="2" builtinId="5"/>
    <cellStyle name="Percent 2" xfId="71" xr:uid="{5937F4B9-B89A-4CE8-96E9-D5251612434D}"/>
    <cellStyle name="Title" xfId="8" builtinId="15" customBuiltin="1"/>
    <cellStyle name="Total" xfId="23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249694</xdr:colOff>
      <xdr:row>0</xdr:row>
      <xdr:rowOff>0</xdr:rowOff>
    </xdr:from>
    <xdr:to>
      <xdr:col>11</xdr:col>
      <xdr:colOff>1031537</xdr:colOff>
      <xdr:row>3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A099B-4036-114D-B419-7CB0AA82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3391" y="0"/>
          <a:ext cx="781843" cy="602980"/>
        </a:xfrm>
        <a:prstGeom prst="rect">
          <a:avLst/>
        </a:prstGeom>
      </xdr:spPr>
    </xdr:pic>
    <xdr:clientData/>
  </xdr:twoCellAnchor>
  <xdr:oneCellAnchor>
    <xdr:from>
      <xdr:col>37</xdr:col>
      <xdr:colOff>804860</xdr:colOff>
      <xdr:row>28</xdr:row>
      <xdr:rowOff>119062</xdr:rowOff>
    </xdr:from>
    <xdr:ext cx="6276976" cy="24404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57176C-EC02-497E-AB1D-C4AFF713D02C}"/>
            </a:ext>
          </a:extLst>
        </xdr:cNvPr>
        <xdr:cNvSpPr txBox="1"/>
      </xdr:nvSpPr>
      <xdr:spPr>
        <a:xfrm rot="19606130">
          <a:off x="12615860" y="4524375"/>
          <a:ext cx="6276976" cy="244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5000">
              <a:ln>
                <a:solidFill>
                  <a:srgbClr val="FF0000"/>
                </a:solidFill>
              </a:ln>
              <a:noFill/>
              <a:effectLst>
                <a:reflection endPos="0" dir="5400000" sy="-100000" algn="bl" rotWithShape="0"/>
              </a:effectLst>
            </a:rPr>
            <a:t>DRAFT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waguild.sharepoint.com/Users/es/Library/Containers/com.apple.mail/Data/Library/Mail%20Downloads/120E7679-3884-4DAE-A052-53C937A00D43/P5%202019%20Monthly%20Management%20Accou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tya.maraginot\Desktop\Budget%20Works\BUDGET%202024\CATERING\Consolidated%20CATERING%20SUMMARY%202024%20v2.xlsx" TargetMode="External"/><Relationship Id="rId1" Type="http://schemas.openxmlformats.org/officeDocument/2006/relationships/externalLinkPath" Target="https://uwaguild.sharepoint.com/Users/mutya.maraginot/Desktop/Budget%20Works/BUDGET%202024/CATERING/Consolidated%20CATERING%20SUMMARY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5 Actual"/>
      <sheetName val="P5 Budget"/>
      <sheetName val="P5 PY"/>
      <sheetName val="YTD "/>
      <sheetName val="YTD Budget"/>
      <sheetName val="YTD PY"/>
      <sheetName val="Tav"/>
      <sheetName val="CF"/>
      <sheetName val="BS"/>
      <sheetName val="NS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tering Admin Allocation"/>
      <sheetName val="Summary JS new"/>
      <sheetName val="BUSINESS SCHOOL"/>
      <sheetName val="CATALYST"/>
      <sheetName val="DENTISTRY"/>
      <sheetName val="NEDLANDS"/>
      <sheetName val="FUNCTIONS"/>
      <sheetName val="HACKETT"/>
      <sheetName val="KITCHEN"/>
      <sheetName val="QUOBBA"/>
      <sheetName val=" CATERING ADMIN"/>
      <sheetName val="TAVERN"/>
      <sheetName val="CAT ADMIN"/>
    </sheetNames>
    <sheetDataSet>
      <sheetData sheetId="0"/>
      <sheetData sheetId="1">
        <row r="8">
          <cell r="I8">
            <v>-32115.714663083927</v>
          </cell>
        </row>
        <row r="9">
          <cell r="I9">
            <v>-79098.39054103283</v>
          </cell>
        </row>
        <row r="10">
          <cell r="I10">
            <v>-27791.907192882849</v>
          </cell>
        </row>
        <row r="11">
          <cell r="I11">
            <v>-5496.7127097482271</v>
          </cell>
        </row>
        <row r="12">
          <cell r="I12">
            <v>-48643.833532936012</v>
          </cell>
        </row>
        <row r="13">
          <cell r="I13">
            <v>-86251.263439898757</v>
          </cell>
        </row>
        <row r="16">
          <cell r="I16">
            <v>-47837.018586459693</v>
          </cell>
        </row>
        <row r="17">
          <cell r="I17">
            <v>-11482.804253947364</v>
          </cell>
        </row>
      </sheetData>
      <sheetData sheetId="2"/>
      <sheetData sheetId="3">
        <row r="1">
          <cell r="A1" t="str">
            <v>Guild of Undergraduates</v>
          </cell>
        </row>
        <row r="2">
          <cell r="A2" t="str">
            <v>Budget 2024</v>
          </cell>
        </row>
        <row r="3">
          <cell r="A3" t="str">
            <v>Business School Café</v>
          </cell>
        </row>
        <row r="4">
          <cell r="A4" t="str">
            <v>Financial Row</v>
          </cell>
        </row>
        <row r="5">
          <cell r="A5" t="str">
            <v> </v>
          </cell>
          <cell r="B5" t="str">
            <v>Budget Amount</v>
          </cell>
          <cell r="C5" t="str">
            <v>Budget Amount</v>
          </cell>
          <cell r="D5" t="str">
            <v>Budget Amount</v>
          </cell>
          <cell r="E5" t="str">
            <v>Budget Amount</v>
          </cell>
          <cell r="F5" t="str">
            <v>Budget Amount</v>
          </cell>
          <cell r="G5" t="str">
            <v>Budget Amount</v>
          </cell>
          <cell r="H5" t="str">
            <v>Budget Amount</v>
          </cell>
          <cell r="I5" t="str">
            <v>Budget Amount</v>
          </cell>
          <cell r="J5" t="str">
            <v>Budget Amount</v>
          </cell>
          <cell r="K5" t="str">
            <v>Budget Amount</v>
          </cell>
          <cell r="L5" t="str">
            <v>Budget Amount</v>
          </cell>
          <cell r="M5" t="str">
            <v>Budget Amount</v>
          </cell>
          <cell r="N5" t="str">
            <v>Budget Amount</v>
          </cell>
        </row>
        <row r="6">
          <cell r="A6" t="str">
            <v>Income</v>
          </cell>
          <cell r="B6" t="str">
            <v>Jan</v>
          </cell>
          <cell r="C6" t="str">
            <v>Feb</v>
          </cell>
          <cell r="D6" t="str">
            <v>March</v>
          </cell>
          <cell r="E6" t="str">
            <v>April</v>
          </cell>
          <cell r="F6" t="str">
            <v>May</v>
          </cell>
          <cell r="G6" t="str">
            <v>June</v>
          </cell>
          <cell r="H6" t="str">
            <v>July</v>
          </cell>
          <cell r="I6" t="str">
            <v>Aug</v>
          </cell>
          <cell r="J6" t="str">
            <v>Sept</v>
          </cell>
          <cell r="K6" t="str">
            <v>Oct</v>
          </cell>
          <cell r="L6" t="str">
            <v>Nov</v>
          </cell>
          <cell r="M6" t="str">
            <v>Dec</v>
          </cell>
        </row>
        <row r="7">
          <cell r="A7" t="str">
            <v>SALES OF GOODS - SALES OF GOODS</v>
          </cell>
        </row>
        <row r="8">
          <cell r="A8" t="str">
            <v>101001 - Sales - Catering</v>
          </cell>
          <cell r="B8">
            <v>11650</v>
          </cell>
          <cell r="C8">
            <v>19310</v>
          </cell>
          <cell r="D8">
            <v>36960</v>
          </cell>
          <cell r="E8">
            <v>30800</v>
          </cell>
          <cell r="F8">
            <v>42020</v>
          </cell>
          <cell r="G8">
            <v>14035</v>
          </cell>
          <cell r="H8">
            <v>23285</v>
          </cell>
          <cell r="I8">
            <v>50545</v>
          </cell>
          <cell r="J8">
            <v>33815</v>
          </cell>
          <cell r="K8">
            <v>37455</v>
          </cell>
          <cell r="L8">
            <v>15125</v>
          </cell>
          <cell r="M8">
            <v>6320</v>
          </cell>
          <cell r="N8">
            <v>321320</v>
          </cell>
        </row>
        <row r="9">
          <cell r="A9" t="str">
            <v>101005 - Sales - End of Day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101050 - Under/Overs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Total - SALES OF GOODS - SALES OF GOODS</v>
          </cell>
          <cell r="B11">
            <v>11650</v>
          </cell>
          <cell r="C11">
            <v>19310</v>
          </cell>
          <cell r="D11">
            <v>36960</v>
          </cell>
          <cell r="E11">
            <v>30800</v>
          </cell>
          <cell r="F11">
            <v>42020</v>
          </cell>
          <cell r="G11">
            <v>14035</v>
          </cell>
          <cell r="H11">
            <v>23285</v>
          </cell>
          <cell r="I11">
            <v>50545</v>
          </cell>
          <cell r="J11">
            <v>33815</v>
          </cell>
          <cell r="K11">
            <v>37455</v>
          </cell>
          <cell r="L11">
            <v>15125</v>
          </cell>
          <cell r="M11">
            <v>6320</v>
          </cell>
          <cell r="N11">
            <v>321320</v>
          </cell>
          <cell r="P11" t="str">
            <v>v 2: $281 100</v>
          </cell>
          <cell r="R11" t="str">
            <v>v 3: $291 730</v>
          </cell>
        </row>
        <row r="12">
          <cell r="A12" t="str">
            <v>SALES CATERING DISCOUNT - SALES CATERING DISCOUNT</v>
          </cell>
        </row>
        <row r="13">
          <cell r="A13" t="str">
            <v>102000 - Guild Member Discount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102003 - Other Promotional Discounts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Total - SALES CATERING DISCOUNT - SALES CATERING DISCOUNT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Total - Income</v>
          </cell>
          <cell r="B16">
            <v>11650</v>
          </cell>
          <cell r="C16">
            <v>19310</v>
          </cell>
          <cell r="D16">
            <v>36960</v>
          </cell>
          <cell r="E16">
            <v>30800</v>
          </cell>
          <cell r="F16">
            <v>42020</v>
          </cell>
          <cell r="G16">
            <v>14035</v>
          </cell>
          <cell r="H16">
            <v>23285</v>
          </cell>
          <cell r="I16">
            <v>50545</v>
          </cell>
          <cell r="J16">
            <v>33815</v>
          </cell>
          <cell r="K16">
            <v>37455</v>
          </cell>
          <cell r="L16">
            <v>15125</v>
          </cell>
          <cell r="M16">
            <v>6320</v>
          </cell>
          <cell r="N16">
            <v>321320</v>
          </cell>
        </row>
        <row r="17">
          <cell r="A17" t="str">
            <v>Cost Of Sales</v>
          </cell>
          <cell r="B17">
            <v>0.34</v>
          </cell>
          <cell r="C17">
            <v>0.34</v>
          </cell>
          <cell r="D17">
            <v>0.34</v>
          </cell>
          <cell r="E17">
            <v>0.34</v>
          </cell>
          <cell r="F17">
            <v>0.34</v>
          </cell>
          <cell r="G17">
            <v>0.34</v>
          </cell>
          <cell r="H17">
            <v>0.34</v>
          </cell>
          <cell r="I17">
            <v>0.34</v>
          </cell>
          <cell r="J17">
            <v>0.34</v>
          </cell>
          <cell r="K17">
            <v>0.34</v>
          </cell>
          <cell r="L17">
            <v>0.34</v>
          </cell>
          <cell r="M17">
            <v>0.34</v>
          </cell>
        </row>
        <row r="18">
          <cell r="A18" t="str">
            <v>201070 - Cost of Goods Sold</v>
          </cell>
          <cell r="B18">
            <v>3961.0000000000005</v>
          </cell>
          <cell r="C18">
            <v>6565.4000000000005</v>
          </cell>
          <cell r="D18">
            <v>12566.400000000001</v>
          </cell>
          <cell r="E18">
            <v>10472</v>
          </cell>
          <cell r="F18">
            <v>14286.800000000001</v>
          </cell>
          <cell r="G18">
            <v>4771.9000000000005</v>
          </cell>
          <cell r="H18">
            <v>7916.9000000000005</v>
          </cell>
          <cell r="I18">
            <v>17185.300000000003</v>
          </cell>
          <cell r="J18">
            <v>11497.1</v>
          </cell>
          <cell r="K18">
            <v>12734.7</v>
          </cell>
          <cell r="L18">
            <v>5142.5</v>
          </cell>
          <cell r="M18">
            <v>2148.8000000000002</v>
          </cell>
          <cell r="N18">
            <v>109248.80000000002</v>
          </cell>
        </row>
        <row r="19">
          <cell r="A19" t="str">
            <v>201075 - FREIGHT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201600 - Inter Department Transfers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Total - Cost Of Sales</v>
          </cell>
          <cell r="B21">
            <v>3961.0000000000005</v>
          </cell>
          <cell r="C21">
            <v>6565.4000000000005</v>
          </cell>
          <cell r="D21">
            <v>12566.400000000001</v>
          </cell>
          <cell r="E21">
            <v>10472</v>
          </cell>
          <cell r="F21">
            <v>14286.800000000001</v>
          </cell>
          <cell r="G21">
            <v>4771.9000000000005</v>
          </cell>
          <cell r="H21">
            <v>7916.9000000000005</v>
          </cell>
          <cell r="I21">
            <v>17185.300000000003</v>
          </cell>
          <cell r="J21">
            <v>11497.1</v>
          </cell>
          <cell r="K21">
            <v>12734.7</v>
          </cell>
          <cell r="L21">
            <v>5142.5</v>
          </cell>
          <cell r="M21">
            <v>2148.8000000000002</v>
          </cell>
          <cell r="N21">
            <v>109248.80000000002</v>
          </cell>
        </row>
        <row r="22">
          <cell r="A22" t="str">
            <v>Gross Profit</v>
          </cell>
          <cell r="B22">
            <v>7689</v>
          </cell>
          <cell r="C22">
            <v>12744.599999999999</v>
          </cell>
          <cell r="D22">
            <v>24393.599999999999</v>
          </cell>
          <cell r="E22">
            <v>20328</v>
          </cell>
          <cell r="F22">
            <v>27733.199999999997</v>
          </cell>
          <cell r="G22">
            <v>9263.0999999999985</v>
          </cell>
          <cell r="H22">
            <v>15368.099999999999</v>
          </cell>
          <cell r="I22">
            <v>33359.699999999997</v>
          </cell>
          <cell r="J22">
            <v>22317.9</v>
          </cell>
          <cell r="K22">
            <v>24720.3</v>
          </cell>
          <cell r="L22">
            <v>9982.5</v>
          </cell>
          <cell r="M22">
            <v>4171.2</v>
          </cell>
          <cell r="N22">
            <v>212071.19999999998</v>
          </cell>
        </row>
        <row r="23">
          <cell r="A23" t="str">
            <v>Expenses</v>
          </cell>
        </row>
        <row r="24">
          <cell r="A24" t="str">
            <v>ADMINISTRATIVE EXPENSES - ADMINISTRATIVE EXPENSES</v>
          </cell>
        </row>
        <row r="25">
          <cell r="A25" t="str">
            <v>305108 - Cleaning Contract</v>
          </cell>
          <cell r="B25">
            <v>200</v>
          </cell>
          <cell r="C25">
            <v>200</v>
          </cell>
          <cell r="D25">
            <v>200</v>
          </cell>
          <cell r="E25">
            <v>200</v>
          </cell>
          <cell r="F25">
            <v>200</v>
          </cell>
          <cell r="G25">
            <v>200</v>
          </cell>
          <cell r="H25">
            <v>200</v>
          </cell>
          <cell r="I25">
            <v>200</v>
          </cell>
          <cell r="J25">
            <v>200</v>
          </cell>
          <cell r="K25">
            <v>200</v>
          </cell>
          <cell r="L25">
            <v>200</v>
          </cell>
          <cell r="M25">
            <v>200</v>
          </cell>
          <cell r="N25">
            <v>2400</v>
          </cell>
        </row>
        <row r="26">
          <cell r="A26" t="str">
            <v>305109 - Cleaning Consumables</v>
          </cell>
          <cell r="B26">
            <v>60</v>
          </cell>
          <cell r="C26">
            <v>60</v>
          </cell>
          <cell r="D26">
            <v>60</v>
          </cell>
          <cell r="E26">
            <v>60</v>
          </cell>
          <cell r="F26">
            <v>60</v>
          </cell>
          <cell r="G26">
            <v>60</v>
          </cell>
          <cell r="H26">
            <v>60</v>
          </cell>
          <cell r="I26">
            <v>60</v>
          </cell>
          <cell r="J26">
            <v>60</v>
          </cell>
          <cell r="K26">
            <v>60</v>
          </cell>
          <cell r="L26">
            <v>60</v>
          </cell>
          <cell r="M26">
            <v>60</v>
          </cell>
          <cell r="N26">
            <v>720</v>
          </cell>
        </row>
        <row r="27">
          <cell r="A27" t="str">
            <v>305111 - Communication Expenses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20</v>
          </cell>
          <cell r="J27">
            <v>20</v>
          </cell>
          <cell r="K27">
            <v>20</v>
          </cell>
          <cell r="L27">
            <v>20</v>
          </cell>
          <cell r="M27">
            <v>20</v>
          </cell>
          <cell r="N27">
            <v>240</v>
          </cell>
        </row>
        <row r="28">
          <cell r="A28" t="str">
            <v>305112 - Paper Products &amp; Packaging</v>
          </cell>
          <cell r="B28">
            <v>400</v>
          </cell>
          <cell r="C28">
            <v>500</v>
          </cell>
          <cell r="D28">
            <v>400</v>
          </cell>
          <cell r="E28">
            <v>400</v>
          </cell>
          <cell r="F28">
            <v>500</v>
          </cell>
          <cell r="G28">
            <v>400</v>
          </cell>
          <cell r="H28">
            <v>500</v>
          </cell>
          <cell r="I28">
            <v>400</v>
          </cell>
          <cell r="J28">
            <v>500</v>
          </cell>
          <cell r="K28">
            <v>500</v>
          </cell>
          <cell r="L28">
            <v>400</v>
          </cell>
          <cell r="M28">
            <v>400</v>
          </cell>
          <cell r="N28">
            <v>5300</v>
          </cell>
        </row>
        <row r="29">
          <cell r="A29" t="str">
            <v>305114 - Computer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305132 - Utilities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305147 - General Expenses</v>
          </cell>
          <cell r="B31">
            <v>25</v>
          </cell>
          <cell r="C31">
            <v>25</v>
          </cell>
          <cell r="D31">
            <v>25</v>
          </cell>
          <cell r="E31">
            <v>25</v>
          </cell>
          <cell r="F31">
            <v>25</v>
          </cell>
          <cell r="G31">
            <v>25</v>
          </cell>
          <cell r="H31">
            <v>25</v>
          </cell>
          <cell r="I31">
            <v>25</v>
          </cell>
          <cell r="J31">
            <v>25</v>
          </cell>
          <cell r="K31">
            <v>25</v>
          </cell>
          <cell r="L31">
            <v>25</v>
          </cell>
          <cell r="M31">
            <v>25</v>
          </cell>
          <cell r="N31">
            <v>300</v>
          </cell>
        </row>
        <row r="32">
          <cell r="A32" t="str">
            <v>305156 - Laundry</v>
          </cell>
          <cell r="B32">
            <v>45</v>
          </cell>
          <cell r="C32">
            <v>45</v>
          </cell>
          <cell r="D32">
            <v>75</v>
          </cell>
          <cell r="E32">
            <v>60</v>
          </cell>
          <cell r="F32">
            <v>80</v>
          </cell>
          <cell r="G32">
            <v>45</v>
          </cell>
          <cell r="H32">
            <v>60</v>
          </cell>
          <cell r="I32">
            <v>80</v>
          </cell>
          <cell r="J32">
            <v>80</v>
          </cell>
          <cell r="K32">
            <v>60</v>
          </cell>
          <cell r="L32">
            <v>40</v>
          </cell>
          <cell r="M32">
            <v>40</v>
          </cell>
          <cell r="N32">
            <v>710</v>
          </cell>
        </row>
        <row r="33">
          <cell r="A33" t="str">
            <v>305162 - Licence &amp; Permits</v>
          </cell>
          <cell r="B33">
            <v>44</v>
          </cell>
          <cell r="C33">
            <v>44</v>
          </cell>
          <cell r="D33">
            <v>44</v>
          </cell>
          <cell r="E33">
            <v>44</v>
          </cell>
          <cell r="F33">
            <v>44</v>
          </cell>
          <cell r="G33">
            <v>44</v>
          </cell>
          <cell r="H33">
            <v>44</v>
          </cell>
          <cell r="I33">
            <v>44</v>
          </cell>
          <cell r="J33">
            <v>44</v>
          </cell>
          <cell r="K33">
            <v>44</v>
          </cell>
          <cell r="L33">
            <v>44</v>
          </cell>
          <cell r="M33">
            <v>44</v>
          </cell>
          <cell r="N33">
            <v>528</v>
          </cell>
        </row>
        <row r="34">
          <cell r="A34" t="str">
            <v>305168 - Occupational  Health &amp; Safety</v>
          </cell>
          <cell r="B34">
            <v>10</v>
          </cell>
          <cell r="C34">
            <v>10</v>
          </cell>
          <cell r="D34">
            <v>10</v>
          </cell>
          <cell r="E34">
            <v>10</v>
          </cell>
          <cell r="F34">
            <v>10</v>
          </cell>
          <cell r="G34">
            <v>10</v>
          </cell>
          <cell r="H34">
            <v>10</v>
          </cell>
          <cell r="I34">
            <v>10</v>
          </cell>
          <cell r="J34">
            <v>10</v>
          </cell>
          <cell r="K34">
            <v>10</v>
          </cell>
          <cell r="L34">
            <v>10</v>
          </cell>
          <cell r="M34">
            <v>10</v>
          </cell>
          <cell r="N34">
            <v>120</v>
          </cell>
        </row>
        <row r="35">
          <cell r="A35" t="str">
            <v>305180 - Printing &amp; Stationery</v>
          </cell>
          <cell r="B35">
            <v>15</v>
          </cell>
          <cell r="C35">
            <v>15</v>
          </cell>
          <cell r="D35">
            <v>15</v>
          </cell>
          <cell r="E35">
            <v>15</v>
          </cell>
          <cell r="F35">
            <v>15</v>
          </cell>
          <cell r="G35">
            <v>15</v>
          </cell>
          <cell r="H35">
            <v>15</v>
          </cell>
          <cell r="I35">
            <v>15</v>
          </cell>
          <cell r="J35">
            <v>15</v>
          </cell>
          <cell r="K35">
            <v>15</v>
          </cell>
          <cell r="L35">
            <v>15</v>
          </cell>
          <cell r="M35">
            <v>15</v>
          </cell>
          <cell r="N35">
            <v>180</v>
          </cell>
        </row>
        <row r="36">
          <cell r="A36" t="str">
            <v>305185 - Minor Assets</v>
          </cell>
          <cell r="B36">
            <v>20</v>
          </cell>
          <cell r="C36">
            <v>20</v>
          </cell>
          <cell r="D36">
            <v>20</v>
          </cell>
          <cell r="E36">
            <v>20</v>
          </cell>
          <cell r="F36">
            <v>20</v>
          </cell>
          <cell r="G36">
            <v>20</v>
          </cell>
          <cell r="H36">
            <v>20</v>
          </cell>
          <cell r="I36">
            <v>20</v>
          </cell>
          <cell r="J36">
            <v>20</v>
          </cell>
          <cell r="K36">
            <v>20</v>
          </cell>
          <cell r="L36">
            <v>20</v>
          </cell>
          <cell r="M36">
            <v>20</v>
          </cell>
          <cell r="N36">
            <v>240</v>
          </cell>
        </row>
        <row r="37">
          <cell r="A37" t="str">
            <v>305187 - Software Digital</v>
          </cell>
          <cell r="B37">
            <v>215</v>
          </cell>
          <cell r="C37">
            <v>215</v>
          </cell>
          <cell r="D37">
            <v>215</v>
          </cell>
          <cell r="E37">
            <v>215</v>
          </cell>
          <cell r="F37">
            <v>215</v>
          </cell>
          <cell r="G37">
            <v>215</v>
          </cell>
          <cell r="H37">
            <v>215</v>
          </cell>
          <cell r="I37">
            <v>215</v>
          </cell>
          <cell r="J37">
            <v>215</v>
          </cell>
          <cell r="K37">
            <v>215</v>
          </cell>
          <cell r="L37">
            <v>215</v>
          </cell>
          <cell r="M37">
            <v>215</v>
          </cell>
          <cell r="N37">
            <v>2580</v>
          </cell>
        </row>
        <row r="38">
          <cell r="A38" t="str">
            <v>305189 - Repairs &amp; Maintenance</v>
          </cell>
          <cell r="B38">
            <v>350</v>
          </cell>
          <cell r="C38">
            <v>350</v>
          </cell>
          <cell r="D38">
            <v>350</v>
          </cell>
          <cell r="E38">
            <v>350</v>
          </cell>
          <cell r="F38">
            <v>350</v>
          </cell>
          <cell r="G38">
            <v>350</v>
          </cell>
          <cell r="H38">
            <v>350</v>
          </cell>
          <cell r="I38">
            <v>350</v>
          </cell>
          <cell r="J38">
            <v>350</v>
          </cell>
          <cell r="K38">
            <v>350</v>
          </cell>
          <cell r="L38">
            <v>350</v>
          </cell>
          <cell r="M38">
            <v>350</v>
          </cell>
          <cell r="N38">
            <v>4200</v>
          </cell>
        </row>
        <row r="39">
          <cell r="A39" t="str">
            <v>305197 - Replacement of Glass/Cutlery</v>
          </cell>
          <cell r="B39">
            <v>15</v>
          </cell>
          <cell r="C39">
            <v>15</v>
          </cell>
          <cell r="D39">
            <v>15</v>
          </cell>
          <cell r="E39">
            <v>15</v>
          </cell>
          <cell r="F39">
            <v>15</v>
          </cell>
          <cell r="G39">
            <v>15</v>
          </cell>
          <cell r="H39">
            <v>15</v>
          </cell>
          <cell r="I39">
            <v>15</v>
          </cell>
          <cell r="J39">
            <v>15</v>
          </cell>
          <cell r="K39">
            <v>15</v>
          </cell>
          <cell r="L39">
            <v>15</v>
          </cell>
          <cell r="M39">
            <v>15</v>
          </cell>
          <cell r="N39">
            <v>180</v>
          </cell>
        </row>
        <row r="40">
          <cell r="A40" t="str">
            <v>305225 - Uniforms</v>
          </cell>
          <cell r="B40">
            <v>15</v>
          </cell>
          <cell r="C40">
            <v>15</v>
          </cell>
          <cell r="D40">
            <v>15</v>
          </cell>
          <cell r="E40">
            <v>15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  <cell r="L40">
            <v>15</v>
          </cell>
          <cell r="M40">
            <v>15</v>
          </cell>
          <cell r="N40">
            <v>180</v>
          </cell>
        </row>
        <row r="41">
          <cell r="A41" t="str">
            <v>305228 - Waste Control</v>
          </cell>
          <cell r="B41">
            <v>430</v>
          </cell>
          <cell r="C41">
            <v>430</v>
          </cell>
          <cell r="D41">
            <v>430</v>
          </cell>
          <cell r="E41">
            <v>430</v>
          </cell>
          <cell r="F41">
            <v>430</v>
          </cell>
          <cell r="G41">
            <v>430</v>
          </cell>
          <cell r="H41">
            <v>430</v>
          </cell>
          <cell r="I41">
            <v>430</v>
          </cell>
          <cell r="J41">
            <v>430</v>
          </cell>
          <cell r="K41">
            <v>430</v>
          </cell>
          <cell r="L41">
            <v>430</v>
          </cell>
          <cell r="M41">
            <v>430</v>
          </cell>
          <cell r="N41">
            <v>5160</v>
          </cell>
        </row>
        <row r="42">
          <cell r="A42" t="str">
            <v>306003 - Depreciation - Furniture &amp; Fittings</v>
          </cell>
          <cell r="B42">
            <v>10</v>
          </cell>
          <cell r="C42">
            <v>10</v>
          </cell>
          <cell r="D42">
            <v>10</v>
          </cell>
          <cell r="E42">
            <v>10</v>
          </cell>
          <cell r="F42">
            <v>10</v>
          </cell>
          <cell r="G42">
            <v>10</v>
          </cell>
          <cell r="H42">
            <v>10</v>
          </cell>
          <cell r="I42">
            <v>10</v>
          </cell>
          <cell r="J42">
            <v>10</v>
          </cell>
          <cell r="K42">
            <v>10</v>
          </cell>
          <cell r="L42">
            <v>10</v>
          </cell>
          <cell r="M42">
            <v>10</v>
          </cell>
          <cell r="N42">
            <v>120</v>
          </cell>
        </row>
        <row r="43">
          <cell r="A43" t="str">
            <v>Total - ADMINISTRATIVE EXPENSES - ADMINISTRATIVE EXPENSES</v>
          </cell>
          <cell r="B43">
            <v>1874</v>
          </cell>
          <cell r="C43">
            <v>1974</v>
          </cell>
          <cell r="D43">
            <v>1904</v>
          </cell>
          <cell r="E43">
            <v>1889</v>
          </cell>
          <cell r="F43">
            <v>2009</v>
          </cell>
          <cell r="G43">
            <v>1874</v>
          </cell>
          <cell r="H43">
            <v>1989</v>
          </cell>
          <cell r="I43">
            <v>1909</v>
          </cell>
          <cell r="J43">
            <v>2009</v>
          </cell>
          <cell r="K43">
            <v>1989</v>
          </cell>
          <cell r="L43">
            <v>1869</v>
          </cell>
          <cell r="M43">
            <v>1869</v>
          </cell>
          <cell r="N43">
            <v>23158</v>
          </cell>
        </row>
        <row r="44">
          <cell r="A44" t="str">
            <v>EMPLOYEE BENEFITS EXPENSE - EMPLOYEE BENEFITS EXPENSE</v>
          </cell>
          <cell r="B44">
            <v>0.56551597523760733</v>
          </cell>
          <cell r="C44">
            <v>0.45670009134298939</v>
          </cell>
          <cell r="D44">
            <v>0.35711055908639411</v>
          </cell>
          <cell r="E44">
            <v>0.38257952362922082</v>
          </cell>
          <cell r="F44">
            <v>0.34125473057918843</v>
          </cell>
          <cell r="G44">
            <v>0.59851935699786241</v>
          </cell>
          <cell r="H44">
            <v>0.50284912948657934</v>
          </cell>
          <cell r="I44">
            <v>0.32930554513675936</v>
          </cell>
          <cell r="J44">
            <v>0.35343071018750927</v>
          </cell>
          <cell r="K44">
            <v>0.36184813723388065</v>
          </cell>
          <cell r="L44">
            <v>0.56154855966880168</v>
          </cell>
          <cell r="M44">
            <v>0.72436748158613529</v>
          </cell>
          <cell r="N44">
            <v>0.40476296238671733</v>
          </cell>
        </row>
        <row r="45">
          <cell r="A45" t="str">
            <v>304001 - Salaries &amp; Wages - Permanent Staff</v>
          </cell>
          <cell r="B45">
            <v>4150</v>
          </cell>
          <cell r="C45">
            <v>4550</v>
          </cell>
          <cell r="D45">
            <v>4550</v>
          </cell>
          <cell r="E45">
            <v>4800</v>
          </cell>
          <cell r="F45">
            <v>5000</v>
          </cell>
          <cell r="G45">
            <v>4400</v>
          </cell>
          <cell r="H45">
            <v>5200</v>
          </cell>
          <cell r="I45">
            <v>5000</v>
          </cell>
          <cell r="J45">
            <v>4750</v>
          </cell>
          <cell r="K45">
            <v>5200</v>
          </cell>
          <cell r="L45">
            <v>4750</v>
          </cell>
          <cell r="M45">
            <v>3650</v>
          </cell>
          <cell r="N45">
            <v>56000</v>
          </cell>
          <cell r="R45" t="str">
            <v>v 3: 58%</v>
          </cell>
        </row>
        <row r="46">
          <cell r="A46" t="str">
            <v>304004 - Salaries &amp; Wages - Other</v>
          </cell>
          <cell r="B46">
            <v>1200</v>
          </cell>
          <cell r="C46">
            <v>2700</v>
          </cell>
          <cell r="D46">
            <v>6500</v>
          </cell>
          <cell r="E46">
            <v>5000</v>
          </cell>
          <cell r="F46">
            <v>7000</v>
          </cell>
          <cell r="G46">
            <v>2500</v>
          </cell>
          <cell r="H46">
            <v>4500</v>
          </cell>
          <cell r="I46">
            <v>9000</v>
          </cell>
          <cell r="J46">
            <v>5200</v>
          </cell>
          <cell r="K46">
            <v>6100</v>
          </cell>
          <cell r="L46">
            <v>2200</v>
          </cell>
          <cell r="M46">
            <v>0</v>
          </cell>
          <cell r="N46">
            <v>51900</v>
          </cell>
        </row>
        <row r="47">
          <cell r="A47" t="str">
            <v>304010 - Superannuation</v>
          </cell>
          <cell r="B47">
            <v>673.76614301875009</v>
          </cell>
          <cell r="C47">
            <v>901.88622306875004</v>
          </cell>
          <cell r="D47">
            <v>1349.8112230687502</v>
          </cell>
          <cell r="E47">
            <v>1205.0659606000002</v>
          </cell>
          <cell r="F47">
            <v>1466.469750625</v>
          </cell>
          <cell r="G47">
            <v>859.07088054999997</v>
          </cell>
          <cell r="H47">
            <v>1197.43604065</v>
          </cell>
          <cell r="I47">
            <v>1702.219750625</v>
          </cell>
          <cell r="J47">
            <v>1222.2275130937501</v>
          </cell>
          <cell r="K47">
            <v>1386.0360406500001</v>
          </cell>
          <cell r="L47">
            <v>868.60251309375008</v>
          </cell>
          <cell r="M47">
            <v>468.18166795625007</v>
          </cell>
          <cell r="N47">
            <v>13300.773707000002</v>
          </cell>
        </row>
        <row r="48">
          <cell r="A48" t="str">
            <v>304013 - Workers Compensation Insurance</v>
          </cell>
          <cell r="B48">
            <v>55.658942249375002</v>
          </cell>
          <cell r="C48">
            <v>74.503644514374997</v>
          </cell>
          <cell r="D48">
            <v>111.50614451437501</v>
          </cell>
          <cell r="E48">
            <v>99.548927180000007</v>
          </cell>
          <cell r="F48">
            <v>121.14315331249999</v>
          </cell>
          <cell r="G48">
            <v>70.966724915</v>
          </cell>
          <cell r="H48">
            <v>98.918629445000008</v>
          </cell>
          <cell r="I48">
            <v>140.6181533125</v>
          </cell>
          <cell r="J48">
            <v>100.966620646875</v>
          </cell>
          <cell r="K48">
            <v>114.49862944500001</v>
          </cell>
          <cell r="L48">
            <v>71.754120646874995</v>
          </cell>
          <cell r="M48">
            <v>38.675876918124999</v>
          </cell>
          <cell r="N48">
            <v>1098.7595670999999</v>
          </cell>
        </row>
        <row r="49">
          <cell r="A49" t="str">
            <v>304016 - Annual Leave Provision</v>
          </cell>
          <cell r="B49">
            <v>375.08602625000003</v>
          </cell>
          <cell r="C49">
            <v>411.23889625000004</v>
          </cell>
          <cell r="D49">
            <v>411.23889625000004</v>
          </cell>
          <cell r="E49">
            <v>433.83444000000003</v>
          </cell>
          <cell r="F49">
            <v>451.91087500000003</v>
          </cell>
          <cell r="G49">
            <v>397.68157000000002</v>
          </cell>
          <cell r="H49">
            <v>469.98731000000004</v>
          </cell>
          <cell r="I49">
            <v>451.91087500000003</v>
          </cell>
          <cell r="J49">
            <v>429.31533125000004</v>
          </cell>
          <cell r="K49">
            <v>469.98731000000004</v>
          </cell>
          <cell r="L49">
            <v>429.31533125000004</v>
          </cell>
          <cell r="M49">
            <v>329.89493875000005</v>
          </cell>
          <cell r="N49">
            <v>5061.4017999999996</v>
          </cell>
        </row>
        <row r="50">
          <cell r="A50" t="str">
            <v>304019 - Long Service Leave Provision</v>
          </cell>
          <cell r="B50">
            <v>133.75</v>
          </cell>
          <cell r="C50">
            <v>181.25</v>
          </cell>
          <cell r="D50">
            <v>276.25</v>
          </cell>
          <cell r="E50">
            <v>245</v>
          </cell>
          <cell r="F50">
            <v>300</v>
          </cell>
          <cell r="G50">
            <v>172.5</v>
          </cell>
          <cell r="H50">
            <v>242.5</v>
          </cell>
          <cell r="I50">
            <v>350</v>
          </cell>
          <cell r="J50">
            <v>248.75</v>
          </cell>
          <cell r="K50">
            <v>282.5</v>
          </cell>
          <cell r="L50">
            <v>173.75</v>
          </cell>
          <cell r="M50">
            <v>91.25</v>
          </cell>
          <cell r="N50">
            <v>2697.5</v>
          </cell>
        </row>
        <row r="51">
          <cell r="A51" t="str">
            <v>Total - EMPLOYEE BENEFITS EXPENSE - EMPLOYEE BENEFITS EXPENSE</v>
          </cell>
          <cell r="B51">
            <v>6588.2611115181253</v>
          </cell>
          <cell r="C51">
            <v>8818.878763833125</v>
          </cell>
          <cell r="D51">
            <v>13198.806263833127</v>
          </cell>
          <cell r="E51">
            <v>11783.449327780001</v>
          </cell>
          <cell r="F51">
            <v>14339.523778937499</v>
          </cell>
          <cell r="G51">
            <v>8400.2191754649994</v>
          </cell>
          <cell r="H51">
            <v>11708.841980095</v>
          </cell>
          <cell r="I51">
            <v>16644.748778937501</v>
          </cell>
          <cell r="J51">
            <v>11951.259464990626</v>
          </cell>
          <cell r="K51">
            <v>13553.021980095</v>
          </cell>
          <cell r="L51">
            <v>8493.4219649906263</v>
          </cell>
          <cell r="M51">
            <v>4578.0024836243747</v>
          </cell>
          <cell r="N51">
            <v>130058.43507410001</v>
          </cell>
          <cell r="P51">
            <v>0.40476296238671733</v>
          </cell>
        </row>
        <row r="52">
          <cell r="A52" t="str">
            <v>Total - Expenses</v>
          </cell>
          <cell r="B52">
            <v>8462.2611115181244</v>
          </cell>
          <cell r="C52">
            <v>10792.878763833125</v>
          </cell>
          <cell r="D52">
            <v>15102.806263833127</v>
          </cell>
          <cell r="E52">
            <v>13672.449327780001</v>
          </cell>
          <cell r="F52">
            <v>16348.523778937499</v>
          </cell>
          <cell r="G52">
            <v>10274.219175464999</v>
          </cell>
          <cell r="H52">
            <v>13697.841980095</v>
          </cell>
          <cell r="I52">
            <v>18553.748778937501</v>
          </cell>
          <cell r="J52">
            <v>13960.259464990626</v>
          </cell>
          <cell r="K52">
            <v>15542.021980095</v>
          </cell>
          <cell r="L52">
            <v>10362.421964990626</v>
          </cell>
          <cell r="M52">
            <v>6447.0024836243747</v>
          </cell>
          <cell r="N52">
            <v>153216.43507410001</v>
          </cell>
        </row>
        <row r="53">
          <cell r="A53" t="str">
            <v>Operating Profit</v>
          </cell>
          <cell r="B53">
            <v>-773.26111151812438</v>
          </cell>
          <cell r="C53">
            <v>1951.7212361668735</v>
          </cell>
          <cell r="D53">
            <v>9290.7937361668719</v>
          </cell>
          <cell r="E53">
            <v>6655.5506722199989</v>
          </cell>
          <cell r="F53">
            <v>11384.676221062498</v>
          </cell>
          <cell r="G53">
            <v>-1011.1191754650008</v>
          </cell>
          <cell r="H53">
            <v>1670.2580199049989</v>
          </cell>
          <cell r="I53">
            <v>14805.951221062496</v>
          </cell>
          <cell r="J53">
            <v>8357.6405350093755</v>
          </cell>
          <cell r="K53">
            <v>9178.2780199049994</v>
          </cell>
          <cell r="L53">
            <v>-379.92196499062629</v>
          </cell>
          <cell r="M53">
            <v>-2275.8024836243749</v>
          </cell>
          <cell r="N53">
            <v>58854.764925899974</v>
          </cell>
        </row>
        <row r="54">
          <cell r="A54" t="str">
            <v>Net Profit/(Loss)</v>
          </cell>
          <cell r="B54">
            <v>-773.26111151812438</v>
          </cell>
          <cell r="C54">
            <v>1951.7212361668735</v>
          </cell>
          <cell r="D54">
            <v>9290.7937361668719</v>
          </cell>
          <cell r="E54">
            <v>6655.5506722199989</v>
          </cell>
          <cell r="F54">
            <v>11384.676221062498</v>
          </cell>
          <cell r="G54">
            <v>-1011.1191754650008</v>
          </cell>
          <cell r="H54">
            <v>1670.2580199049989</v>
          </cell>
          <cell r="I54">
            <v>14805.951221062496</v>
          </cell>
          <cell r="J54">
            <v>8357.6405350093755</v>
          </cell>
          <cell r="K54">
            <v>9178.2780199049994</v>
          </cell>
          <cell r="L54">
            <v>-379.92196499062629</v>
          </cell>
          <cell r="M54">
            <v>-2275.8024836243749</v>
          </cell>
          <cell r="N54">
            <v>58854.764925899974</v>
          </cell>
          <cell r="P54" t="str">
            <v>v 2: -$23 503</v>
          </cell>
          <cell r="R54" t="str">
            <v>v 3: $436.22</v>
          </cell>
        </row>
      </sheetData>
      <sheetData sheetId="4">
        <row r="1">
          <cell r="A1" t="str">
            <v>Guild of Undergraduates</v>
          </cell>
        </row>
        <row r="2">
          <cell r="A2" t="str">
            <v>Budget 2024</v>
          </cell>
        </row>
        <row r="3">
          <cell r="A3" t="str">
            <v>Catalyst Café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>Financial Row</v>
          </cell>
        </row>
        <row r="7">
          <cell r="A7" t="str">
            <v> </v>
          </cell>
          <cell r="B7" t="str">
            <v>Budget Amount</v>
          </cell>
          <cell r="C7" t="str">
            <v>Budget Amount</v>
          </cell>
          <cell r="D7" t="str">
            <v>Budget Amount</v>
          </cell>
          <cell r="E7" t="str">
            <v>Budget Amount</v>
          </cell>
          <cell r="F7" t="str">
            <v>Budget Amount</v>
          </cell>
          <cell r="G7" t="str">
            <v>Budget Amount</v>
          </cell>
          <cell r="H7" t="str">
            <v>Budget Amount</v>
          </cell>
          <cell r="I7" t="str">
            <v>Budget Amount</v>
          </cell>
          <cell r="J7" t="str">
            <v>Budget Amount</v>
          </cell>
          <cell r="K7" t="str">
            <v>Budget Amount</v>
          </cell>
          <cell r="L7" t="str">
            <v>Budget Amount</v>
          </cell>
          <cell r="M7" t="str">
            <v>Budget Amount</v>
          </cell>
          <cell r="N7" t="str">
            <v>Budget Amount</v>
          </cell>
        </row>
        <row r="8">
          <cell r="A8" t="str">
            <v>Income</v>
          </cell>
          <cell r="B8" t="str">
            <v>Jan</v>
          </cell>
          <cell r="C8" t="str">
            <v>Feb</v>
          </cell>
          <cell r="D8" t="str">
            <v>March</v>
          </cell>
          <cell r="E8" t="str">
            <v>April</v>
          </cell>
          <cell r="F8" t="str">
            <v>May</v>
          </cell>
          <cell r="G8" t="str">
            <v>June</v>
          </cell>
          <cell r="H8" t="str">
            <v>July</v>
          </cell>
          <cell r="I8" t="str">
            <v>Aug</v>
          </cell>
          <cell r="J8" t="str">
            <v>Sept</v>
          </cell>
          <cell r="K8" t="str">
            <v>Oct</v>
          </cell>
          <cell r="L8" t="str">
            <v>Nov</v>
          </cell>
          <cell r="M8" t="str">
            <v>Dec</v>
          </cell>
        </row>
        <row r="9">
          <cell r="A9" t="str">
            <v>SALES OF GOODS - SALES OF GOODS</v>
          </cell>
        </row>
        <row r="10">
          <cell r="A10" t="str">
            <v>101001 - Sales - Catering</v>
          </cell>
          <cell r="B10">
            <v>25305</v>
          </cell>
          <cell r="C10">
            <v>46410</v>
          </cell>
          <cell r="D10">
            <v>89407.5</v>
          </cell>
          <cell r="E10">
            <v>78330</v>
          </cell>
          <cell r="F10">
            <v>101535</v>
          </cell>
          <cell r="G10">
            <v>50925</v>
          </cell>
          <cell r="H10">
            <v>52710</v>
          </cell>
          <cell r="I10">
            <v>107362.5</v>
          </cell>
          <cell r="J10">
            <v>82635</v>
          </cell>
          <cell r="K10">
            <v>100852.5</v>
          </cell>
          <cell r="L10">
            <v>41317.5</v>
          </cell>
          <cell r="M10">
            <v>14595</v>
          </cell>
          <cell r="N10">
            <v>791385</v>
          </cell>
          <cell r="P10" t="str">
            <v>Jan wages high due to Quobba permanent staff</v>
          </cell>
        </row>
        <row r="11">
          <cell r="A11" t="str">
            <v>101005 - Sales - End of Day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 t="str">
            <v>aim for $750 000 ($80 000 more than budget for 2023)</v>
          </cell>
        </row>
        <row r="12">
          <cell r="A12" t="str">
            <v>101050 - Under/Overs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Total - SALES OF GOODS - SALES OF GOODS</v>
          </cell>
          <cell r="B13">
            <v>25305</v>
          </cell>
          <cell r="C13">
            <v>46410</v>
          </cell>
          <cell r="D13">
            <v>89407.5</v>
          </cell>
          <cell r="E13">
            <v>78330</v>
          </cell>
          <cell r="F13">
            <v>101535</v>
          </cell>
          <cell r="G13">
            <v>50925</v>
          </cell>
          <cell r="H13">
            <v>52710</v>
          </cell>
          <cell r="I13">
            <v>107362.5</v>
          </cell>
          <cell r="J13">
            <v>82635</v>
          </cell>
          <cell r="K13">
            <v>100852.5</v>
          </cell>
          <cell r="L13">
            <v>41317.5</v>
          </cell>
          <cell r="M13">
            <v>14595</v>
          </cell>
          <cell r="N13">
            <v>791385</v>
          </cell>
          <cell r="P13" t="str">
            <v>v 2: $750 000</v>
          </cell>
        </row>
        <row r="14">
          <cell r="A14" t="str">
            <v>SALES CATERING DISCOUNT - SALES CATERING DISCOUNT</v>
          </cell>
        </row>
        <row r="15">
          <cell r="A15" t="str">
            <v>102000 - Guild Member Discount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102003 - Other Promotional Discounts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- SALES CATERING DISCOUNT - SALES CATERING DISCOUNT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Total - Income</v>
          </cell>
          <cell r="B18">
            <v>25305</v>
          </cell>
          <cell r="C18">
            <v>46410</v>
          </cell>
          <cell r="D18">
            <v>89407.5</v>
          </cell>
          <cell r="E18">
            <v>78330</v>
          </cell>
          <cell r="F18">
            <v>101535</v>
          </cell>
          <cell r="G18">
            <v>50925</v>
          </cell>
          <cell r="H18">
            <v>52710</v>
          </cell>
          <cell r="I18">
            <v>107362.5</v>
          </cell>
          <cell r="J18">
            <v>82635</v>
          </cell>
          <cell r="K18">
            <v>100852.5</v>
          </cell>
          <cell r="L18">
            <v>41317.5</v>
          </cell>
          <cell r="M18">
            <v>14595</v>
          </cell>
          <cell r="N18">
            <v>791385</v>
          </cell>
        </row>
        <row r="19">
          <cell r="A19" t="str">
            <v>Cost Of Sales</v>
          </cell>
          <cell r="B19">
            <v>0.34</v>
          </cell>
          <cell r="C19">
            <v>0.34</v>
          </cell>
          <cell r="D19">
            <v>0.34</v>
          </cell>
          <cell r="E19">
            <v>0.34</v>
          </cell>
          <cell r="F19">
            <v>0.34</v>
          </cell>
          <cell r="G19">
            <v>0.34</v>
          </cell>
          <cell r="H19">
            <v>0.34</v>
          </cell>
          <cell r="I19">
            <v>0.34</v>
          </cell>
          <cell r="J19">
            <v>0.34</v>
          </cell>
          <cell r="K19">
            <v>0.34</v>
          </cell>
          <cell r="L19">
            <v>0.34</v>
          </cell>
          <cell r="M19">
            <v>0.34</v>
          </cell>
        </row>
        <row r="20">
          <cell r="A20" t="str">
            <v>201070 - Cost of Goods Sold</v>
          </cell>
          <cell r="B20">
            <v>8603.7000000000007</v>
          </cell>
          <cell r="C20">
            <v>15779.400000000001</v>
          </cell>
          <cell r="D20">
            <v>30398.550000000003</v>
          </cell>
          <cell r="E20">
            <v>26632.2</v>
          </cell>
          <cell r="F20">
            <v>34521.9</v>
          </cell>
          <cell r="G20">
            <v>17314.5</v>
          </cell>
          <cell r="H20">
            <v>17921.400000000001</v>
          </cell>
          <cell r="I20">
            <v>36503.25</v>
          </cell>
          <cell r="J20">
            <v>28095.9</v>
          </cell>
          <cell r="K20">
            <v>34289.850000000006</v>
          </cell>
          <cell r="L20">
            <v>14047.95</v>
          </cell>
          <cell r="M20">
            <v>4962.3</v>
          </cell>
          <cell r="N20">
            <v>269070.89999999997</v>
          </cell>
          <cell r="P20" t="str">
            <v>v 2: $262 500</v>
          </cell>
        </row>
        <row r="21">
          <cell r="A21" t="str">
            <v>201075 - FREIGHT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201600 - Inter Department Transfers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Total - Cost Of Sales</v>
          </cell>
          <cell r="B23">
            <v>8603.7000000000007</v>
          </cell>
          <cell r="C23">
            <v>15779.400000000001</v>
          </cell>
          <cell r="D23">
            <v>30398.550000000003</v>
          </cell>
          <cell r="E23">
            <v>26632.2</v>
          </cell>
          <cell r="F23">
            <v>34521.9</v>
          </cell>
          <cell r="G23">
            <v>17314.5</v>
          </cell>
          <cell r="H23">
            <v>17921.400000000001</v>
          </cell>
          <cell r="I23">
            <v>36503.25</v>
          </cell>
          <cell r="J23">
            <v>28095.9</v>
          </cell>
          <cell r="K23">
            <v>34289.850000000006</v>
          </cell>
          <cell r="L23">
            <v>14047.95</v>
          </cell>
          <cell r="M23">
            <v>4962.3</v>
          </cell>
          <cell r="N23">
            <v>269070.89999999997</v>
          </cell>
        </row>
        <row r="24">
          <cell r="A24" t="str">
            <v>Gross Profit</v>
          </cell>
          <cell r="B24">
            <v>16701.3</v>
          </cell>
          <cell r="C24">
            <v>30630.6</v>
          </cell>
          <cell r="D24">
            <v>59008.95</v>
          </cell>
          <cell r="E24">
            <v>51697.8</v>
          </cell>
          <cell r="F24">
            <v>67013.100000000006</v>
          </cell>
          <cell r="G24">
            <v>33610.5</v>
          </cell>
          <cell r="H24">
            <v>34788.6</v>
          </cell>
          <cell r="I24">
            <v>70859.25</v>
          </cell>
          <cell r="J24">
            <v>54539.1</v>
          </cell>
          <cell r="K24">
            <v>66562.649999999994</v>
          </cell>
          <cell r="L24">
            <v>27269.55</v>
          </cell>
          <cell r="M24">
            <v>9632.7000000000007</v>
          </cell>
          <cell r="N24">
            <v>522314.10000000003</v>
          </cell>
        </row>
        <row r="25">
          <cell r="A25" t="str">
            <v>Expenses</v>
          </cell>
        </row>
        <row r="26">
          <cell r="A26" t="str">
            <v>ADMINISTRATIVE EXPENSES - ADMINISTRATIVE EXPENSES</v>
          </cell>
        </row>
        <row r="27">
          <cell r="A27" t="str">
            <v>305108 - Cleaning Contract</v>
          </cell>
          <cell r="B27">
            <v>110</v>
          </cell>
          <cell r="C27">
            <v>110</v>
          </cell>
          <cell r="D27">
            <v>110</v>
          </cell>
          <cell r="E27">
            <v>110</v>
          </cell>
          <cell r="F27">
            <v>110</v>
          </cell>
          <cell r="G27">
            <v>110</v>
          </cell>
          <cell r="H27">
            <v>110</v>
          </cell>
          <cell r="I27">
            <v>110</v>
          </cell>
          <cell r="J27">
            <v>110</v>
          </cell>
          <cell r="K27">
            <v>110</v>
          </cell>
          <cell r="L27">
            <v>110</v>
          </cell>
          <cell r="M27">
            <v>110</v>
          </cell>
          <cell r="N27">
            <v>1320</v>
          </cell>
          <cell r="O27" t="str">
            <v>Dunbar $315/ Jaymak $495x2</v>
          </cell>
        </row>
        <row r="28">
          <cell r="A28" t="str">
            <v>305109 - Cleaning Consumables</v>
          </cell>
          <cell r="B28">
            <v>75</v>
          </cell>
          <cell r="C28">
            <v>75</v>
          </cell>
          <cell r="D28">
            <v>75</v>
          </cell>
          <cell r="E28">
            <v>75</v>
          </cell>
          <cell r="F28">
            <v>75</v>
          </cell>
          <cell r="G28">
            <v>75</v>
          </cell>
          <cell r="H28">
            <v>75</v>
          </cell>
          <cell r="I28">
            <v>75</v>
          </cell>
          <cell r="J28">
            <v>75</v>
          </cell>
          <cell r="K28">
            <v>75</v>
          </cell>
          <cell r="L28">
            <v>75</v>
          </cell>
          <cell r="M28">
            <v>75</v>
          </cell>
          <cell r="N28">
            <v>900</v>
          </cell>
        </row>
        <row r="29">
          <cell r="A29" t="str">
            <v>305111 - Communication Expenses</v>
          </cell>
          <cell r="B29">
            <v>22</v>
          </cell>
          <cell r="C29">
            <v>22</v>
          </cell>
          <cell r="D29">
            <v>22</v>
          </cell>
          <cell r="E29">
            <v>22</v>
          </cell>
          <cell r="F29">
            <v>22</v>
          </cell>
          <cell r="G29">
            <v>22</v>
          </cell>
          <cell r="H29">
            <v>22</v>
          </cell>
          <cell r="I29">
            <v>22</v>
          </cell>
          <cell r="J29">
            <v>22</v>
          </cell>
          <cell r="K29">
            <v>22</v>
          </cell>
          <cell r="L29">
            <v>22</v>
          </cell>
          <cell r="M29">
            <v>22</v>
          </cell>
          <cell r="N29">
            <v>264</v>
          </cell>
        </row>
        <row r="30">
          <cell r="A30" t="str">
            <v>305112 - Paper Products &amp; Packaging</v>
          </cell>
          <cell r="B30">
            <v>780</v>
          </cell>
          <cell r="C30">
            <v>780</v>
          </cell>
          <cell r="D30">
            <v>780</v>
          </cell>
          <cell r="E30">
            <v>780</v>
          </cell>
          <cell r="F30">
            <v>780</v>
          </cell>
          <cell r="G30">
            <v>780</v>
          </cell>
          <cell r="H30">
            <v>780</v>
          </cell>
          <cell r="I30">
            <v>780</v>
          </cell>
          <cell r="J30">
            <v>780</v>
          </cell>
          <cell r="K30">
            <v>780</v>
          </cell>
          <cell r="L30">
            <v>780</v>
          </cell>
          <cell r="M30">
            <v>780</v>
          </cell>
          <cell r="N30">
            <v>9360</v>
          </cell>
        </row>
        <row r="31">
          <cell r="A31" t="str">
            <v>305114 - Computer Expenses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305132 - Utilities</v>
          </cell>
          <cell r="B32">
            <v>1000</v>
          </cell>
          <cell r="C32">
            <v>1000</v>
          </cell>
          <cell r="D32">
            <v>1200</v>
          </cell>
          <cell r="E32">
            <v>1200</v>
          </cell>
          <cell r="F32">
            <v>1200</v>
          </cell>
          <cell r="G32">
            <v>1200</v>
          </cell>
          <cell r="H32">
            <v>1200</v>
          </cell>
          <cell r="I32">
            <v>1200</v>
          </cell>
          <cell r="J32">
            <v>1200</v>
          </cell>
          <cell r="K32">
            <v>1200</v>
          </cell>
          <cell r="L32">
            <v>1200</v>
          </cell>
          <cell r="M32">
            <v>1000</v>
          </cell>
          <cell r="N32">
            <v>13800</v>
          </cell>
        </row>
        <row r="33">
          <cell r="A33" t="str">
            <v>305147 - General Expenses</v>
          </cell>
          <cell r="B33">
            <v>50</v>
          </cell>
          <cell r="C33">
            <v>50</v>
          </cell>
          <cell r="D33">
            <v>50</v>
          </cell>
          <cell r="E33">
            <v>50</v>
          </cell>
          <cell r="F33">
            <v>50</v>
          </cell>
          <cell r="G33">
            <v>50</v>
          </cell>
          <cell r="H33">
            <v>50</v>
          </cell>
          <cell r="I33">
            <v>50</v>
          </cell>
          <cell r="J33">
            <v>50</v>
          </cell>
          <cell r="K33">
            <v>50</v>
          </cell>
          <cell r="L33">
            <v>50</v>
          </cell>
          <cell r="M33">
            <v>50</v>
          </cell>
          <cell r="N33">
            <v>600</v>
          </cell>
        </row>
        <row r="34">
          <cell r="A34" t="str">
            <v>305156 - Laundry</v>
          </cell>
          <cell r="B34">
            <v>90</v>
          </cell>
          <cell r="C34">
            <v>120</v>
          </cell>
          <cell r="D34">
            <v>120</v>
          </cell>
          <cell r="E34">
            <v>200</v>
          </cell>
          <cell r="F34">
            <v>140</v>
          </cell>
          <cell r="G34">
            <v>125</v>
          </cell>
          <cell r="H34">
            <v>95</v>
          </cell>
          <cell r="I34">
            <v>130</v>
          </cell>
          <cell r="J34">
            <v>130</v>
          </cell>
          <cell r="K34">
            <v>130</v>
          </cell>
          <cell r="L34">
            <v>120</v>
          </cell>
          <cell r="M34">
            <v>90</v>
          </cell>
          <cell r="N34">
            <v>1490</v>
          </cell>
        </row>
        <row r="35">
          <cell r="A35" t="str">
            <v>305162 - Licence &amp; Permits</v>
          </cell>
          <cell r="B35">
            <v>44</v>
          </cell>
          <cell r="C35">
            <v>44</v>
          </cell>
          <cell r="D35">
            <v>44</v>
          </cell>
          <cell r="E35">
            <v>44</v>
          </cell>
          <cell r="F35">
            <v>44</v>
          </cell>
          <cell r="G35">
            <v>44</v>
          </cell>
          <cell r="H35">
            <v>44</v>
          </cell>
          <cell r="I35">
            <v>44</v>
          </cell>
          <cell r="J35">
            <v>44</v>
          </cell>
          <cell r="K35">
            <v>44</v>
          </cell>
          <cell r="L35">
            <v>44</v>
          </cell>
          <cell r="M35">
            <v>44</v>
          </cell>
          <cell r="N35">
            <v>528</v>
          </cell>
          <cell r="O35" t="str">
            <v>City of Perth $260 x 2 = $520</v>
          </cell>
        </row>
        <row r="36">
          <cell r="A36" t="str">
            <v>305168 - Occupational  Health &amp; Safety</v>
          </cell>
          <cell r="B36">
            <v>15</v>
          </cell>
          <cell r="C36">
            <v>15</v>
          </cell>
          <cell r="D36">
            <v>15</v>
          </cell>
          <cell r="E36">
            <v>15</v>
          </cell>
          <cell r="F36">
            <v>15</v>
          </cell>
          <cell r="G36">
            <v>15</v>
          </cell>
          <cell r="H36">
            <v>15</v>
          </cell>
          <cell r="I36">
            <v>15</v>
          </cell>
          <cell r="J36">
            <v>15</v>
          </cell>
          <cell r="K36">
            <v>15</v>
          </cell>
          <cell r="L36">
            <v>15</v>
          </cell>
          <cell r="M36">
            <v>15</v>
          </cell>
          <cell r="N36">
            <v>180</v>
          </cell>
          <cell r="O36" t="str">
            <v>First Aid Kit $72 x2</v>
          </cell>
        </row>
        <row r="37">
          <cell r="A37" t="str">
            <v>305180 - Printing &amp; Stationery</v>
          </cell>
          <cell r="B37">
            <v>35</v>
          </cell>
          <cell r="C37">
            <v>35</v>
          </cell>
          <cell r="D37">
            <v>35</v>
          </cell>
          <cell r="E37">
            <v>35</v>
          </cell>
          <cell r="F37">
            <v>35</v>
          </cell>
          <cell r="G37">
            <v>35</v>
          </cell>
          <cell r="H37">
            <v>35</v>
          </cell>
          <cell r="I37">
            <v>35</v>
          </cell>
          <cell r="J37">
            <v>35</v>
          </cell>
          <cell r="K37">
            <v>35</v>
          </cell>
          <cell r="L37">
            <v>35</v>
          </cell>
          <cell r="M37">
            <v>35</v>
          </cell>
          <cell r="N37">
            <v>420</v>
          </cell>
        </row>
        <row r="38">
          <cell r="A38" t="str">
            <v>305185 - Minor Assets</v>
          </cell>
          <cell r="B38">
            <v>80</v>
          </cell>
          <cell r="C38">
            <v>80</v>
          </cell>
          <cell r="D38">
            <v>80</v>
          </cell>
          <cell r="E38">
            <v>80</v>
          </cell>
          <cell r="F38">
            <v>80</v>
          </cell>
          <cell r="G38">
            <v>80</v>
          </cell>
          <cell r="H38">
            <v>80</v>
          </cell>
          <cell r="I38">
            <v>80</v>
          </cell>
          <cell r="J38">
            <v>80</v>
          </cell>
          <cell r="K38">
            <v>80</v>
          </cell>
          <cell r="L38">
            <v>80</v>
          </cell>
          <cell r="M38">
            <v>80</v>
          </cell>
          <cell r="N38">
            <v>960</v>
          </cell>
        </row>
        <row r="39">
          <cell r="A39" t="str">
            <v>305187 - Software Digital</v>
          </cell>
          <cell r="B39">
            <v>250</v>
          </cell>
          <cell r="C39">
            <v>250</v>
          </cell>
          <cell r="D39">
            <v>250</v>
          </cell>
          <cell r="E39">
            <v>250</v>
          </cell>
          <cell r="F39">
            <v>250</v>
          </cell>
          <cell r="G39">
            <v>250</v>
          </cell>
          <cell r="H39">
            <v>250</v>
          </cell>
          <cell r="I39">
            <v>250</v>
          </cell>
          <cell r="J39">
            <v>250</v>
          </cell>
          <cell r="K39">
            <v>250</v>
          </cell>
          <cell r="L39">
            <v>250</v>
          </cell>
          <cell r="M39">
            <v>250</v>
          </cell>
          <cell r="N39">
            <v>3000</v>
          </cell>
        </row>
        <row r="40">
          <cell r="A40" t="str">
            <v>305189 - Repairs &amp; Maintenance</v>
          </cell>
          <cell r="B40">
            <v>390</v>
          </cell>
          <cell r="C40">
            <v>390</v>
          </cell>
          <cell r="D40">
            <v>390</v>
          </cell>
          <cell r="E40">
            <v>390</v>
          </cell>
          <cell r="F40">
            <v>390</v>
          </cell>
          <cell r="G40">
            <v>390</v>
          </cell>
          <cell r="H40">
            <v>390</v>
          </cell>
          <cell r="I40">
            <v>390</v>
          </cell>
          <cell r="J40">
            <v>390</v>
          </cell>
          <cell r="K40">
            <v>390</v>
          </cell>
          <cell r="L40">
            <v>390</v>
          </cell>
          <cell r="M40">
            <v>390</v>
          </cell>
          <cell r="N40">
            <v>4680</v>
          </cell>
        </row>
        <row r="41">
          <cell r="A41" t="str">
            <v>305197 - Replacement of Glass/Cutlery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  <cell r="N41">
            <v>120</v>
          </cell>
        </row>
        <row r="42">
          <cell r="A42" t="str">
            <v>305219 - Subscriptions</v>
          </cell>
          <cell r="B42">
            <v>50</v>
          </cell>
          <cell r="C42">
            <v>50</v>
          </cell>
          <cell r="D42">
            <v>50</v>
          </cell>
          <cell r="E42">
            <v>50</v>
          </cell>
          <cell r="F42">
            <v>50</v>
          </cell>
          <cell r="G42">
            <v>50</v>
          </cell>
          <cell r="H42">
            <v>50</v>
          </cell>
          <cell r="I42">
            <v>50</v>
          </cell>
          <cell r="J42">
            <v>50</v>
          </cell>
          <cell r="K42">
            <v>50</v>
          </cell>
          <cell r="L42">
            <v>50</v>
          </cell>
          <cell r="M42">
            <v>50</v>
          </cell>
          <cell r="N42">
            <v>600</v>
          </cell>
          <cell r="O42" t="str">
            <v>newspaper</v>
          </cell>
        </row>
        <row r="43">
          <cell r="A43" t="str">
            <v>305225 - Uniforms</v>
          </cell>
          <cell r="B43">
            <v>10</v>
          </cell>
          <cell r="C43">
            <v>10</v>
          </cell>
          <cell r="D43">
            <v>10</v>
          </cell>
          <cell r="E43">
            <v>10</v>
          </cell>
          <cell r="F43">
            <v>10</v>
          </cell>
          <cell r="G43">
            <v>10</v>
          </cell>
          <cell r="H43">
            <v>10</v>
          </cell>
          <cell r="I43">
            <v>10</v>
          </cell>
          <cell r="J43">
            <v>10</v>
          </cell>
          <cell r="K43">
            <v>10</v>
          </cell>
          <cell r="L43">
            <v>10</v>
          </cell>
          <cell r="M43">
            <v>10</v>
          </cell>
          <cell r="N43">
            <v>120</v>
          </cell>
        </row>
        <row r="44">
          <cell r="A44" t="str">
            <v>305228 - Waste Control</v>
          </cell>
          <cell r="B44">
            <v>740</v>
          </cell>
          <cell r="C44">
            <v>740</v>
          </cell>
          <cell r="D44">
            <v>740</v>
          </cell>
          <cell r="E44">
            <v>740</v>
          </cell>
          <cell r="F44">
            <v>740</v>
          </cell>
          <cell r="G44">
            <v>740</v>
          </cell>
          <cell r="H44">
            <v>740</v>
          </cell>
          <cell r="I44">
            <v>740</v>
          </cell>
          <cell r="J44">
            <v>740</v>
          </cell>
          <cell r="K44">
            <v>740</v>
          </cell>
          <cell r="L44">
            <v>740</v>
          </cell>
          <cell r="M44">
            <v>740</v>
          </cell>
          <cell r="N44">
            <v>8880</v>
          </cell>
        </row>
        <row r="45">
          <cell r="A45" t="str">
            <v>306001 - Depreciation - Plant &amp; Equipment</v>
          </cell>
          <cell r="B45">
            <v>190.13</v>
          </cell>
          <cell r="C45">
            <v>190.13</v>
          </cell>
          <cell r="D45">
            <v>190.13</v>
          </cell>
          <cell r="E45">
            <v>190.13</v>
          </cell>
          <cell r="F45">
            <v>190.13</v>
          </cell>
          <cell r="G45">
            <v>190.13</v>
          </cell>
          <cell r="H45">
            <v>190.13</v>
          </cell>
          <cell r="I45">
            <v>190.13</v>
          </cell>
          <cell r="J45">
            <v>190.13</v>
          </cell>
          <cell r="K45">
            <v>190.13</v>
          </cell>
          <cell r="L45">
            <v>190.13</v>
          </cell>
          <cell r="M45">
            <v>190.13</v>
          </cell>
          <cell r="N45">
            <v>2281.5600000000004</v>
          </cell>
        </row>
        <row r="46">
          <cell r="A46" t="str">
            <v>306003 - Depreciation - Furniture &amp; Fittings</v>
          </cell>
          <cell r="B46">
            <v>566.29999999999995</v>
          </cell>
          <cell r="C46">
            <v>566.29999999999995</v>
          </cell>
          <cell r="D46">
            <v>566.29999999999995</v>
          </cell>
          <cell r="E46">
            <v>566.29999999999995</v>
          </cell>
          <cell r="F46">
            <v>566.29999999999995</v>
          </cell>
          <cell r="G46">
            <v>566.29999999999995</v>
          </cell>
          <cell r="H46">
            <v>566.29999999999995</v>
          </cell>
          <cell r="I46">
            <v>566.29999999999995</v>
          </cell>
          <cell r="J46">
            <v>566.29999999999995</v>
          </cell>
          <cell r="K46">
            <v>566.29999999999995</v>
          </cell>
          <cell r="L46">
            <v>566.29999999999995</v>
          </cell>
          <cell r="M46">
            <v>566.29999999999995</v>
          </cell>
          <cell r="N46">
            <v>6795.6000000000013</v>
          </cell>
        </row>
        <row r="47">
          <cell r="A47" t="str">
            <v>306005 - Depreciation - Property</v>
          </cell>
          <cell r="B47">
            <v>160.85</v>
          </cell>
          <cell r="C47">
            <v>160.85</v>
          </cell>
          <cell r="D47">
            <v>160.85</v>
          </cell>
          <cell r="E47">
            <v>160.85</v>
          </cell>
          <cell r="F47">
            <v>160.85</v>
          </cell>
          <cell r="G47">
            <v>160.85</v>
          </cell>
          <cell r="H47">
            <v>160.85</v>
          </cell>
          <cell r="I47">
            <v>160.85</v>
          </cell>
          <cell r="J47">
            <v>160.85</v>
          </cell>
          <cell r="K47">
            <v>160.85</v>
          </cell>
          <cell r="L47">
            <v>160.85</v>
          </cell>
          <cell r="M47">
            <v>160.85</v>
          </cell>
          <cell r="N47">
            <v>1930.1999999999996</v>
          </cell>
        </row>
        <row r="48">
          <cell r="A48" t="str">
            <v>Total - ADMINISTRATIVE EXPENSES - ADMINISTRATIVE EXPENSES</v>
          </cell>
          <cell r="B48">
            <v>4668.2800000000007</v>
          </cell>
          <cell r="C48">
            <v>4698.2800000000007</v>
          </cell>
          <cell r="D48">
            <v>4898.2800000000007</v>
          </cell>
          <cell r="E48">
            <v>4978.2800000000007</v>
          </cell>
          <cell r="F48">
            <v>4918.2800000000007</v>
          </cell>
          <cell r="G48">
            <v>4903.2800000000007</v>
          </cell>
          <cell r="H48">
            <v>4873.2800000000007</v>
          </cell>
          <cell r="I48">
            <v>4908.2800000000007</v>
          </cell>
          <cell r="J48">
            <v>4908.2800000000007</v>
          </cell>
          <cell r="K48">
            <v>4908.2800000000007</v>
          </cell>
          <cell r="L48">
            <v>4898.2800000000007</v>
          </cell>
          <cell r="M48">
            <v>4668.2800000000007</v>
          </cell>
          <cell r="N48">
            <v>58229.359999999993</v>
          </cell>
        </row>
        <row r="49">
          <cell r="A49" t="str">
            <v>EMPLOYEE BENEFITS EXPENSE - EMPLOYEE BENEFITS EXPENSE</v>
          </cell>
          <cell r="B49">
            <v>0.64128406572109764</v>
          </cell>
          <cell r="C49">
            <v>0.42652337895840337</v>
          </cell>
          <cell r="D49">
            <v>0.37055813709654667</v>
          </cell>
          <cell r="E49">
            <v>0.37194512314479766</v>
          </cell>
          <cell r="F49">
            <v>0.36416582187821439</v>
          </cell>
          <cell r="G49">
            <v>0.4018294370478277</v>
          </cell>
          <cell r="H49">
            <v>0.4079827189817824</v>
          </cell>
          <cell r="I49">
            <v>0.3724511882076284</v>
          </cell>
          <cell r="J49">
            <v>0.37800723589310675</v>
          </cell>
          <cell r="K49">
            <v>0.37300306752464985</v>
          </cell>
          <cell r="L49">
            <v>0.41009821354212805</v>
          </cell>
          <cell r="M49">
            <v>0.73218133739701952</v>
          </cell>
          <cell r="N49">
            <v>0.39639861940692922</v>
          </cell>
        </row>
        <row r="50">
          <cell r="A50" t="str">
            <v>304001 - Salaries &amp; Wages - Permanent Staff</v>
          </cell>
          <cell r="B50">
            <v>11330</v>
          </cell>
          <cell r="C50">
            <v>12520</v>
          </cell>
          <cell r="D50">
            <v>12520</v>
          </cell>
          <cell r="E50">
            <v>13120</v>
          </cell>
          <cell r="F50">
            <v>13720</v>
          </cell>
          <cell r="G50">
            <v>11950</v>
          </cell>
          <cell r="H50">
            <v>14260</v>
          </cell>
          <cell r="I50">
            <v>13640</v>
          </cell>
          <cell r="J50">
            <v>13050</v>
          </cell>
          <cell r="K50">
            <v>14260</v>
          </cell>
          <cell r="L50">
            <v>13050</v>
          </cell>
          <cell r="M50">
            <v>8520</v>
          </cell>
          <cell r="N50">
            <v>151940</v>
          </cell>
        </row>
        <row r="51">
          <cell r="A51" t="str">
            <v>304004 - Salaries &amp; Wages - Other</v>
          </cell>
          <cell r="B51">
            <v>1750</v>
          </cell>
          <cell r="C51">
            <v>3550</v>
          </cell>
          <cell r="D51">
            <v>15120</v>
          </cell>
          <cell r="E51">
            <v>11000</v>
          </cell>
          <cell r="F51">
            <v>17150</v>
          </cell>
          <cell r="G51">
            <v>4750</v>
          </cell>
          <cell r="H51">
            <v>3140</v>
          </cell>
          <cell r="I51">
            <v>19850</v>
          </cell>
          <cell r="J51">
            <v>12900</v>
          </cell>
          <cell r="K51">
            <v>17120</v>
          </cell>
          <cell r="L51">
            <v>500</v>
          </cell>
          <cell r="M51">
            <v>0</v>
          </cell>
          <cell r="N51">
            <v>106830</v>
          </cell>
        </row>
        <row r="52">
          <cell r="A52" t="str">
            <v>304010 - Superannuation</v>
          </cell>
          <cell r="B52">
            <v>1659.5684549162502</v>
          </cell>
          <cell r="C52">
            <v>2024.3835055650002</v>
          </cell>
          <cell r="D52">
            <v>3388.197255565</v>
          </cell>
          <cell r="E52">
            <v>2979.5136256400001</v>
          </cell>
          <cell r="F52">
            <v>3781.4062457150003</v>
          </cell>
          <cell r="G52">
            <v>2092.7202039937501</v>
          </cell>
          <cell r="H52">
            <v>2199.2427287825003</v>
          </cell>
          <cell r="I52">
            <v>4089.4072297050002</v>
          </cell>
          <cell r="J52">
            <v>3194.4972991312502</v>
          </cell>
          <cell r="K52">
            <v>3847.1352287824998</v>
          </cell>
          <cell r="L52">
            <v>1732.8472991312501</v>
          </cell>
          <cell r="M52">
            <v>1092.851455065</v>
          </cell>
          <cell r="N52">
            <v>32081.770531992501</v>
          </cell>
        </row>
        <row r="53">
          <cell r="A53" t="str">
            <v>304013 - Workers Compensation Insurance</v>
          </cell>
          <cell r="B53">
            <v>137.094785406125</v>
          </cell>
          <cell r="C53">
            <v>167.23168089449999</v>
          </cell>
          <cell r="D53">
            <v>279.8945558945</v>
          </cell>
          <cell r="E53">
            <v>246.13373429200001</v>
          </cell>
          <cell r="F53">
            <v>312.37703768950001</v>
          </cell>
          <cell r="G53">
            <v>172.87688641687501</v>
          </cell>
          <cell r="H53">
            <v>181.67657324725002</v>
          </cell>
          <cell r="I53">
            <v>337.82059723650002</v>
          </cell>
          <cell r="J53">
            <v>263.89325514562501</v>
          </cell>
          <cell r="K53">
            <v>317.80682324724995</v>
          </cell>
          <cell r="L53">
            <v>143.148255145625</v>
          </cell>
          <cell r="M53">
            <v>90.279033244499985</v>
          </cell>
          <cell r="N53">
            <v>2650.2332178602505</v>
          </cell>
        </row>
        <row r="54">
          <cell r="A54" t="str">
            <v>304016 - Annual Leave Provision</v>
          </cell>
          <cell r="B54">
            <v>1024.0300427500001</v>
          </cell>
          <cell r="C54">
            <v>1131.5848310000001</v>
          </cell>
          <cell r="D54">
            <v>1131.5848310000001</v>
          </cell>
          <cell r="E54">
            <v>1185.814136</v>
          </cell>
          <cell r="F54">
            <v>1240.0434410000003</v>
          </cell>
          <cell r="G54">
            <v>1080.06699125</v>
          </cell>
          <cell r="H54">
            <v>1288.8498155</v>
          </cell>
          <cell r="I54">
            <v>1232.8128670000001</v>
          </cell>
          <cell r="J54">
            <v>1179.4873837500002</v>
          </cell>
          <cell r="K54">
            <v>1288.8498155</v>
          </cell>
          <cell r="L54">
            <v>1179.4873837500002</v>
          </cell>
          <cell r="M54">
            <v>770.05613100000005</v>
          </cell>
          <cell r="N54">
            <v>13732.667669499999</v>
          </cell>
        </row>
        <row r="55">
          <cell r="A55" t="str">
            <v>304019 - Long Service Leave Provision</v>
          </cell>
          <cell r="B55">
            <v>327</v>
          </cell>
          <cell r="C55">
            <v>401.75</v>
          </cell>
          <cell r="D55">
            <v>691</v>
          </cell>
          <cell r="E55">
            <v>603</v>
          </cell>
          <cell r="F55">
            <v>771.75</v>
          </cell>
          <cell r="G55">
            <v>417.5</v>
          </cell>
          <cell r="H55">
            <v>435</v>
          </cell>
          <cell r="I55">
            <v>837.25</v>
          </cell>
          <cell r="J55">
            <v>648.75</v>
          </cell>
          <cell r="K55">
            <v>784.5</v>
          </cell>
          <cell r="L55">
            <v>338.75</v>
          </cell>
          <cell r="M55">
            <v>213</v>
          </cell>
          <cell r="N55">
            <v>6469.25</v>
          </cell>
        </row>
        <row r="56">
          <cell r="A56" t="str">
            <v>Total - EMPLOYEE BENEFITS EXPENSE - EMPLOYEE BENEFITS EXPENSE</v>
          </cell>
          <cell r="B56">
            <v>16227.693283072376</v>
          </cell>
          <cell r="C56">
            <v>19794.950017459501</v>
          </cell>
          <cell r="D56">
            <v>33130.676642459497</v>
          </cell>
          <cell r="E56">
            <v>29134.461495932002</v>
          </cell>
          <cell r="F56">
            <v>36975.576724404498</v>
          </cell>
          <cell r="G56">
            <v>20463.164081660627</v>
          </cell>
          <cell r="H56">
            <v>21504.769117529751</v>
          </cell>
          <cell r="I56">
            <v>39987.290693941504</v>
          </cell>
          <cell r="J56">
            <v>31236.627938026875</v>
          </cell>
          <cell r="K56">
            <v>37618.291867529748</v>
          </cell>
          <cell r="L56">
            <v>16944.232938026875</v>
          </cell>
          <cell r="M56">
            <v>10686.186619309499</v>
          </cell>
          <cell r="N56">
            <v>313703.9214193527</v>
          </cell>
          <cell r="O56">
            <v>0.39639861940692922</v>
          </cell>
        </row>
        <row r="57">
          <cell r="A57" t="str">
            <v>Total - Expenses</v>
          </cell>
          <cell r="B57">
            <v>20895.973283072377</v>
          </cell>
          <cell r="C57">
            <v>24493.2300174595</v>
          </cell>
          <cell r="D57">
            <v>38028.956642459496</v>
          </cell>
          <cell r="E57">
            <v>34112.741495932001</v>
          </cell>
          <cell r="F57">
            <v>41893.856724404497</v>
          </cell>
          <cell r="G57">
            <v>25366.444081660629</v>
          </cell>
          <cell r="H57">
            <v>26378.04911752975</v>
          </cell>
          <cell r="I57">
            <v>44895.570693941503</v>
          </cell>
          <cell r="J57">
            <v>36144.907938026874</v>
          </cell>
          <cell r="K57">
            <v>42526.571867529747</v>
          </cell>
          <cell r="L57">
            <v>21842.512938026877</v>
          </cell>
          <cell r="M57">
            <v>15354.4666193095</v>
          </cell>
          <cell r="N57">
            <v>371933.28141935269</v>
          </cell>
        </row>
        <row r="58">
          <cell r="A58" t="str">
            <v>Operating Profit</v>
          </cell>
          <cell r="B58">
            <v>-4194.6732830723777</v>
          </cell>
          <cell r="C58">
            <v>6137.3699825404983</v>
          </cell>
          <cell r="D58">
            <v>20979.993357540501</v>
          </cell>
          <cell r="E58">
            <v>17585.058504068002</v>
          </cell>
          <cell r="F58">
            <v>25119.243275595509</v>
          </cell>
          <cell r="G58">
            <v>8244.0559183393707</v>
          </cell>
          <cell r="H58">
            <v>8410.5508824702483</v>
          </cell>
          <cell r="I58">
            <v>25963.679306058497</v>
          </cell>
          <cell r="J58">
            <v>18394.192061973125</v>
          </cell>
          <cell r="K58">
            <v>24036.078132470248</v>
          </cell>
          <cell r="L58">
            <v>5427.037061973122</v>
          </cell>
          <cell r="M58">
            <v>-5721.7666193094992</v>
          </cell>
          <cell r="N58">
            <v>150380.81858064735</v>
          </cell>
        </row>
        <row r="59">
          <cell r="A59" t="str">
            <v>Net Profit/(Loss)</v>
          </cell>
          <cell r="B59">
            <v>-4194.6732830723777</v>
          </cell>
          <cell r="C59">
            <v>6137.3699825404983</v>
          </cell>
          <cell r="D59">
            <v>20979.993357540501</v>
          </cell>
          <cell r="E59">
            <v>17585.058504068002</v>
          </cell>
          <cell r="F59">
            <v>25119.243275595509</v>
          </cell>
          <cell r="G59">
            <v>8244.0559183393707</v>
          </cell>
          <cell r="H59">
            <v>8410.5508824702483</v>
          </cell>
          <cell r="I59">
            <v>25963.679306058497</v>
          </cell>
          <cell r="J59">
            <v>18394.192061973125</v>
          </cell>
          <cell r="K59">
            <v>24036.078132470248</v>
          </cell>
          <cell r="L59">
            <v>5427.037061973122</v>
          </cell>
          <cell r="M59">
            <v>-5721.7666193094992</v>
          </cell>
          <cell r="N59">
            <v>150380.81858064735</v>
          </cell>
          <cell r="P59" t="str">
            <v>v 2: $123 560</v>
          </cell>
        </row>
      </sheetData>
      <sheetData sheetId="5">
        <row r="1">
          <cell r="A1" t="str">
            <v>Guild of Undergraduates</v>
          </cell>
        </row>
        <row r="2">
          <cell r="A2" t="str">
            <v>Budget 2024</v>
          </cell>
        </row>
        <row r="3">
          <cell r="A3" t="str">
            <v>Dentistry Kiosk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>Financial Row</v>
          </cell>
        </row>
        <row r="7">
          <cell r="A7" t="str">
            <v> </v>
          </cell>
          <cell r="B7" t="str">
            <v>Budget Amount</v>
          </cell>
          <cell r="C7" t="str">
            <v>Budget Amount</v>
          </cell>
          <cell r="D7" t="str">
            <v>Budget Amount</v>
          </cell>
          <cell r="E7" t="str">
            <v>Budget Amount</v>
          </cell>
          <cell r="F7" t="str">
            <v>Budget Amount</v>
          </cell>
          <cell r="G7" t="str">
            <v>Budget Amount</v>
          </cell>
          <cell r="H7" t="str">
            <v>Budget Amount</v>
          </cell>
          <cell r="I7" t="str">
            <v>Budget Amount</v>
          </cell>
          <cell r="J7" t="str">
            <v>Budget Amount</v>
          </cell>
          <cell r="K7" t="str">
            <v>Budget Amount</v>
          </cell>
          <cell r="L7" t="str">
            <v>Budget Amount</v>
          </cell>
          <cell r="M7" t="str">
            <v>Budget Amount</v>
          </cell>
          <cell r="N7" t="str">
            <v>Budget Amount</v>
          </cell>
        </row>
        <row r="8">
          <cell r="A8" t="str">
            <v>Income</v>
          </cell>
          <cell r="B8" t="str">
            <v>Jan</v>
          </cell>
          <cell r="C8" t="str">
            <v>Feb</v>
          </cell>
          <cell r="D8" t="str">
            <v>March</v>
          </cell>
          <cell r="E8" t="str">
            <v>April</v>
          </cell>
          <cell r="F8" t="str">
            <v>May</v>
          </cell>
          <cell r="G8" t="str">
            <v>June</v>
          </cell>
          <cell r="H8" t="str">
            <v>July</v>
          </cell>
          <cell r="I8" t="str">
            <v>Aug</v>
          </cell>
          <cell r="J8" t="str">
            <v>Sept</v>
          </cell>
          <cell r="K8" t="str">
            <v>Oct</v>
          </cell>
          <cell r="L8" t="str">
            <v>Nov</v>
          </cell>
          <cell r="M8" t="str">
            <v>Dec</v>
          </cell>
        </row>
        <row r="9">
          <cell r="A9" t="str">
            <v>SALES OF GOODS - SALES OF GOODS</v>
          </cell>
        </row>
        <row r="10">
          <cell r="A10" t="str">
            <v>101001 - Sales - Catering</v>
          </cell>
          <cell r="B10">
            <v>11900</v>
          </cell>
          <cell r="C10">
            <v>28300</v>
          </cell>
          <cell r="D10">
            <v>29400</v>
          </cell>
          <cell r="E10">
            <v>23500</v>
          </cell>
          <cell r="F10">
            <v>29500</v>
          </cell>
          <cell r="G10">
            <v>16500</v>
          </cell>
          <cell r="H10">
            <v>25000</v>
          </cell>
          <cell r="I10">
            <v>30850</v>
          </cell>
          <cell r="J10">
            <v>26900</v>
          </cell>
          <cell r="K10">
            <v>28850</v>
          </cell>
          <cell r="L10">
            <v>18760</v>
          </cell>
          <cell r="M10">
            <v>8600</v>
          </cell>
          <cell r="N10">
            <v>278060</v>
          </cell>
        </row>
        <row r="11">
          <cell r="A11" t="str">
            <v>101005 - Sales - End of Day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101050 - Under/Overs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Total - SALES OF GOODS - SALES OF GOODS</v>
          </cell>
          <cell r="B13">
            <v>11900</v>
          </cell>
          <cell r="C13">
            <v>28300</v>
          </cell>
          <cell r="D13">
            <v>29400</v>
          </cell>
          <cell r="E13">
            <v>23500</v>
          </cell>
          <cell r="F13">
            <v>29500</v>
          </cell>
          <cell r="G13">
            <v>16500</v>
          </cell>
          <cell r="H13">
            <v>25000</v>
          </cell>
          <cell r="I13">
            <v>30850</v>
          </cell>
          <cell r="J13">
            <v>26900</v>
          </cell>
          <cell r="K13">
            <v>28850</v>
          </cell>
          <cell r="L13">
            <v>18760</v>
          </cell>
          <cell r="M13">
            <v>8600</v>
          </cell>
          <cell r="N13">
            <v>278060</v>
          </cell>
        </row>
        <row r="14">
          <cell r="A14" t="str">
            <v>SALES CATERING DISCOUNT - SALES CATERING DISCOUNT</v>
          </cell>
        </row>
        <row r="15">
          <cell r="A15" t="str">
            <v>102000 - Guild Member Discount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102003 - Other Promotional Discounts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- SALES CATERING DISCOUNT - SALES CATERING DISCOUNT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Total - Income</v>
          </cell>
          <cell r="B18">
            <v>11900</v>
          </cell>
          <cell r="C18">
            <v>28300</v>
          </cell>
          <cell r="D18">
            <v>29400</v>
          </cell>
          <cell r="E18">
            <v>23500</v>
          </cell>
          <cell r="F18">
            <v>29500</v>
          </cell>
          <cell r="G18">
            <v>16500</v>
          </cell>
          <cell r="H18">
            <v>25000</v>
          </cell>
          <cell r="I18">
            <v>30850</v>
          </cell>
          <cell r="J18">
            <v>26900</v>
          </cell>
          <cell r="K18">
            <v>28850</v>
          </cell>
          <cell r="L18">
            <v>18760</v>
          </cell>
          <cell r="M18">
            <v>8600</v>
          </cell>
          <cell r="N18">
            <v>278060</v>
          </cell>
        </row>
        <row r="19">
          <cell r="A19" t="str">
            <v>Cost Of Sales</v>
          </cell>
          <cell r="B19">
            <v>0.36</v>
          </cell>
          <cell r="C19">
            <v>0.36</v>
          </cell>
          <cell r="D19">
            <v>0.36</v>
          </cell>
          <cell r="E19">
            <v>0.36</v>
          </cell>
          <cell r="F19">
            <v>0.36</v>
          </cell>
          <cell r="G19">
            <v>0.36</v>
          </cell>
          <cell r="H19">
            <v>0.36</v>
          </cell>
          <cell r="I19">
            <v>0.36</v>
          </cell>
          <cell r="J19">
            <v>0.36</v>
          </cell>
          <cell r="K19">
            <v>0.36</v>
          </cell>
          <cell r="L19">
            <v>0.36</v>
          </cell>
          <cell r="M19">
            <v>0.36</v>
          </cell>
        </row>
        <row r="20">
          <cell r="A20" t="str">
            <v>201070 - Cost of Goods Sold</v>
          </cell>
          <cell r="B20">
            <v>4284</v>
          </cell>
          <cell r="C20">
            <v>10188</v>
          </cell>
          <cell r="D20">
            <v>10584</v>
          </cell>
          <cell r="E20">
            <v>8460</v>
          </cell>
          <cell r="F20">
            <v>10620</v>
          </cell>
          <cell r="G20">
            <v>5940</v>
          </cell>
          <cell r="H20">
            <v>9000</v>
          </cell>
          <cell r="I20">
            <v>11106</v>
          </cell>
          <cell r="J20">
            <v>9684</v>
          </cell>
          <cell r="K20">
            <v>10386</v>
          </cell>
          <cell r="L20">
            <v>6753.5999999999995</v>
          </cell>
          <cell r="M20">
            <v>3096</v>
          </cell>
          <cell r="N20">
            <v>100101.6</v>
          </cell>
        </row>
        <row r="21">
          <cell r="A21" t="str">
            <v>201075 - FREIGHT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201600 - Inter Department Transfers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Total - Cost Of Sales</v>
          </cell>
          <cell r="B23">
            <v>4284</v>
          </cell>
          <cell r="C23">
            <v>10188</v>
          </cell>
          <cell r="D23">
            <v>10584</v>
          </cell>
          <cell r="E23">
            <v>8460</v>
          </cell>
          <cell r="F23">
            <v>10620</v>
          </cell>
          <cell r="G23">
            <v>5940</v>
          </cell>
          <cell r="H23">
            <v>9000</v>
          </cell>
          <cell r="I23">
            <v>11106</v>
          </cell>
          <cell r="J23">
            <v>9684</v>
          </cell>
          <cell r="K23">
            <v>10386</v>
          </cell>
          <cell r="L23">
            <v>6753.5999999999995</v>
          </cell>
          <cell r="M23">
            <v>3096</v>
          </cell>
          <cell r="N23">
            <v>100101.6</v>
          </cell>
        </row>
        <row r="24">
          <cell r="A24" t="str">
            <v>Gross Profit</v>
          </cell>
          <cell r="B24">
            <v>7616</v>
          </cell>
          <cell r="C24">
            <v>18112</v>
          </cell>
          <cell r="D24">
            <v>18816</v>
          </cell>
          <cell r="E24">
            <v>15040</v>
          </cell>
          <cell r="F24">
            <v>18880</v>
          </cell>
          <cell r="G24">
            <v>10560</v>
          </cell>
          <cell r="H24">
            <v>16000</v>
          </cell>
          <cell r="I24">
            <v>19744</v>
          </cell>
          <cell r="J24">
            <v>17216</v>
          </cell>
          <cell r="K24">
            <v>18464</v>
          </cell>
          <cell r="L24">
            <v>12006.400000000001</v>
          </cell>
          <cell r="M24">
            <v>5504</v>
          </cell>
          <cell r="N24">
            <v>177958.39999999999</v>
          </cell>
        </row>
        <row r="25">
          <cell r="A25" t="str">
            <v>Expenses</v>
          </cell>
        </row>
        <row r="26">
          <cell r="A26" t="str">
            <v>ADMINISTRATIVE EXPENSES - ADMINISTRATIVE EXPENSES</v>
          </cell>
        </row>
        <row r="27">
          <cell r="A27" t="str">
            <v>305108 - Cleaning Contract</v>
          </cell>
          <cell r="B27">
            <v>90</v>
          </cell>
          <cell r="C27">
            <v>90</v>
          </cell>
          <cell r="D27">
            <v>90</v>
          </cell>
          <cell r="E27">
            <v>90</v>
          </cell>
          <cell r="F27">
            <v>90</v>
          </cell>
          <cell r="G27">
            <v>90</v>
          </cell>
          <cell r="H27">
            <v>90</v>
          </cell>
          <cell r="I27">
            <v>90</v>
          </cell>
          <cell r="J27">
            <v>90</v>
          </cell>
          <cell r="K27">
            <v>90</v>
          </cell>
          <cell r="L27">
            <v>90</v>
          </cell>
          <cell r="M27">
            <v>90</v>
          </cell>
          <cell r="N27">
            <v>1080</v>
          </cell>
          <cell r="O27" t="str">
            <v>Jaymak $539 x2</v>
          </cell>
        </row>
        <row r="28">
          <cell r="A28" t="str">
            <v>305109 - Cleaning Consumables</v>
          </cell>
          <cell r="B28">
            <v>40</v>
          </cell>
          <cell r="C28">
            <v>40</v>
          </cell>
          <cell r="D28">
            <v>40</v>
          </cell>
          <cell r="E28">
            <v>40</v>
          </cell>
          <cell r="F28">
            <v>40</v>
          </cell>
          <cell r="G28">
            <v>40</v>
          </cell>
          <cell r="H28">
            <v>40</v>
          </cell>
          <cell r="I28">
            <v>40</v>
          </cell>
          <cell r="J28">
            <v>40</v>
          </cell>
          <cell r="K28">
            <v>40</v>
          </cell>
          <cell r="L28">
            <v>40</v>
          </cell>
          <cell r="M28">
            <v>40</v>
          </cell>
          <cell r="N28">
            <v>480</v>
          </cell>
        </row>
        <row r="29">
          <cell r="A29" t="str">
            <v>305111 - Communication Expenses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20</v>
          </cell>
          <cell r="I29">
            <v>20</v>
          </cell>
          <cell r="J29">
            <v>20</v>
          </cell>
          <cell r="K29">
            <v>20</v>
          </cell>
          <cell r="L29">
            <v>20</v>
          </cell>
          <cell r="M29">
            <v>20</v>
          </cell>
          <cell r="N29">
            <v>240</v>
          </cell>
        </row>
        <row r="30">
          <cell r="A30" t="str">
            <v>305112 - Paper Products &amp; Packaging</v>
          </cell>
          <cell r="B30">
            <v>400</v>
          </cell>
          <cell r="C30">
            <v>500</v>
          </cell>
          <cell r="D30">
            <v>200</v>
          </cell>
          <cell r="E30">
            <v>500</v>
          </cell>
          <cell r="F30">
            <v>500</v>
          </cell>
          <cell r="G30">
            <v>500</v>
          </cell>
          <cell r="H30">
            <v>550</v>
          </cell>
          <cell r="I30">
            <v>500</v>
          </cell>
          <cell r="J30">
            <v>500</v>
          </cell>
          <cell r="K30">
            <v>400</v>
          </cell>
          <cell r="L30">
            <v>200</v>
          </cell>
          <cell r="M30">
            <v>200</v>
          </cell>
          <cell r="N30">
            <v>4950</v>
          </cell>
        </row>
        <row r="31">
          <cell r="A31" t="str">
            <v>305114 - Computer Expenses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305132 - Utilities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305147 - General Expenses</v>
          </cell>
          <cell r="B33">
            <v>15</v>
          </cell>
          <cell r="C33">
            <v>15</v>
          </cell>
          <cell r="D33">
            <v>15</v>
          </cell>
          <cell r="E33">
            <v>15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15</v>
          </cell>
          <cell r="K33">
            <v>15</v>
          </cell>
          <cell r="L33">
            <v>15</v>
          </cell>
          <cell r="M33">
            <v>15</v>
          </cell>
          <cell r="N33">
            <v>180</v>
          </cell>
        </row>
        <row r="34">
          <cell r="A34" t="str">
            <v>305156 - Laundry</v>
          </cell>
          <cell r="B34">
            <v>65</v>
          </cell>
          <cell r="C34">
            <v>65</v>
          </cell>
          <cell r="D34">
            <v>65</v>
          </cell>
          <cell r="E34">
            <v>65</v>
          </cell>
          <cell r="F34">
            <v>65</v>
          </cell>
          <cell r="G34">
            <v>65</v>
          </cell>
          <cell r="H34">
            <v>65</v>
          </cell>
          <cell r="I34">
            <v>65</v>
          </cell>
          <cell r="J34">
            <v>65</v>
          </cell>
          <cell r="K34">
            <v>65</v>
          </cell>
          <cell r="L34">
            <v>65</v>
          </cell>
          <cell r="M34">
            <v>65</v>
          </cell>
          <cell r="N34">
            <v>780</v>
          </cell>
        </row>
        <row r="35">
          <cell r="A35" t="str">
            <v>305162 - Licence &amp; Permits</v>
          </cell>
          <cell r="B35">
            <v>44</v>
          </cell>
          <cell r="C35">
            <v>44</v>
          </cell>
          <cell r="D35">
            <v>44</v>
          </cell>
          <cell r="E35">
            <v>44</v>
          </cell>
          <cell r="F35">
            <v>44</v>
          </cell>
          <cell r="G35">
            <v>44</v>
          </cell>
          <cell r="H35">
            <v>44</v>
          </cell>
          <cell r="I35">
            <v>44</v>
          </cell>
          <cell r="J35">
            <v>44</v>
          </cell>
          <cell r="K35">
            <v>44</v>
          </cell>
          <cell r="L35">
            <v>44</v>
          </cell>
          <cell r="M35">
            <v>44</v>
          </cell>
          <cell r="N35">
            <v>528</v>
          </cell>
          <cell r="O35" t="str">
            <v>City of Perth $260 x 2 = $520</v>
          </cell>
        </row>
        <row r="36">
          <cell r="A36" t="str">
            <v>305168 - Occupational  Health &amp; Safety</v>
          </cell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  <cell r="N36">
            <v>120</v>
          </cell>
          <cell r="O36" t="str">
            <v>First Aid Kit $48x2</v>
          </cell>
        </row>
        <row r="37">
          <cell r="A37" t="str">
            <v>305180 - Printing &amp; Stationery</v>
          </cell>
          <cell r="B37">
            <v>15</v>
          </cell>
          <cell r="C37">
            <v>15</v>
          </cell>
          <cell r="D37">
            <v>15</v>
          </cell>
          <cell r="E37">
            <v>15</v>
          </cell>
          <cell r="F37">
            <v>15</v>
          </cell>
          <cell r="G37">
            <v>15</v>
          </cell>
          <cell r="H37">
            <v>15</v>
          </cell>
          <cell r="I37">
            <v>15</v>
          </cell>
          <cell r="J37">
            <v>15</v>
          </cell>
          <cell r="K37">
            <v>15</v>
          </cell>
          <cell r="L37">
            <v>15</v>
          </cell>
          <cell r="M37">
            <v>15</v>
          </cell>
          <cell r="N37">
            <v>180</v>
          </cell>
        </row>
        <row r="38">
          <cell r="A38" t="str">
            <v>305185 - Minor Assets</v>
          </cell>
          <cell r="B38">
            <v>20</v>
          </cell>
          <cell r="C38">
            <v>20</v>
          </cell>
          <cell r="D38">
            <v>20</v>
          </cell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240</v>
          </cell>
        </row>
        <row r="39">
          <cell r="A39" t="str">
            <v>305187 - Software Digital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200</v>
          </cell>
          <cell r="H39">
            <v>200</v>
          </cell>
          <cell r="I39">
            <v>200</v>
          </cell>
          <cell r="J39">
            <v>200</v>
          </cell>
          <cell r="K39">
            <v>200</v>
          </cell>
          <cell r="L39">
            <v>200</v>
          </cell>
          <cell r="M39">
            <v>200</v>
          </cell>
          <cell r="N39">
            <v>2400</v>
          </cell>
        </row>
        <row r="40">
          <cell r="A40" t="str">
            <v>305189 - Repairs &amp; Maintenance</v>
          </cell>
          <cell r="B40">
            <v>260</v>
          </cell>
          <cell r="C40">
            <v>260</v>
          </cell>
          <cell r="D40">
            <v>260</v>
          </cell>
          <cell r="E40">
            <v>260</v>
          </cell>
          <cell r="F40">
            <v>260</v>
          </cell>
          <cell r="G40">
            <v>260</v>
          </cell>
          <cell r="H40">
            <v>260</v>
          </cell>
          <cell r="I40">
            <v>260</v>
          </cell>
          <cell r="J40">
            <v>260</v>
          </cell>
          <cell r="K40">
            <v>260</v>
          </cell>
          <cell r="L40">
            <v>260</v>
          </cell>
          <cell r="M40">
            <v>260</v>
          </cell>
          <cell r="N40">
            <v>3120</v>
          </cell>
        </row>
        <row r="41">
          <cell r="A41" t="str">
            <v>305197 - Replacement of Glass/Cutlery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  <cell r="N41">
            <v>120</v>
          </cell>
        </row>
        <row r="42">
          <cell r="A42" t="str">
            <v>305225 - Uniforms</v>
          </cell>
          <cell r="B42">
            <v>5</v>
          </cell>
          <cell r="C42">
            <v>5</v>
          </cell>
          <cell r="D42">
            <v>5</v>
          </cell>
          <cell r="E42">
            <v>5</v>
          </cell>
          <cell r="F42">
            <v>5</v>
          </cell>
          <cell r="G42">
            <v>5</v>
          </cell>
          <cell r="H42">
            <v>5</v>
          </cell>
          <cell r="I42">
            <v>5</v>
          </cell>
          <cell r="J42">
            <v>5</v>
          </cell>
          <cell r="K42">
            <v>5</v>
          </cell>
          <cell r="L42">
            <v>5</v>
          </cell>
          <cell r="M42">
            <v>5</v>
          </cell>
          <cell r="N42">
            <v>60</v>
          </cell>
        </row>
        <row r="43">
          <cell r="A43" t="str">
            <v>305228 - Waste Control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NA</v>
          </cell>
        </row>
        <row r="44">
          <cell r="A44" t="str">
            <v>306004 - Depreciation - Computer Equipment</v>
          </cell>
          <cell r="B44">
            <v>38.75</v>
          </cell>
          <cell r="C44">
            <v>38.75</v>
          </cell>
          <cell r="D44">
            <v>38.75</v>
          </cell>
          <cell r="E44">
            <v>38.75</v>
          </cell>
          <cell r="F44">
            <v>38.75</v>
          </cell>
          <cell r="G44">
            <v>38.75</v>
          </cell>
          <cell r="H44">
            <v>38.75</v>
          </cell>
          <cell r="I44">
            <v>38.75</v>
          </cell>
          <cell r="J44">
            <v>38.75</v>
          </cell>
          <cell r="K44">
            <v>38.75</v>
          </cell>
          <cell r="L44">
            <v>38.75</v>
          </cell>
          <cell r="M44">
            <v>38.75</v>
          </cell>
          <cell r="N44">
            <v>465</v>
          </cell>
        </row>
        <row r="45">
          <cell r="A45" t="str">
            <v>306005 - Depreciation - Property</v>
          </cell>
          <cell r="B45">
            <v>19</v>
          </cell>
          <cell r="C45">
            <v>19</v>
          </cell>
          <cell r="D45">
            <v>19</v>
          </cell>
          <cell r="E45">
            <v>19</v>
          </cell>
          <cell r="F45">
            <v>19</v>
          </cell>
          <cell r="G45">
            <v>19</v>
          </cell>
          <cell r="H45">
            <v>19</v>
          </cell>
          <cell r="I45">
            <v>19</v>
          </cell>
          <cell r="J45">
            <v>19</v>
          </cell>
          <cell r="K45">
            <v>19</v>
          </cell>
          <cell r="L45">
            <v>19</v>
          </cell>
          <cell r="M45">
            <v>19</v>
          </cell>
          <cell r="N45">
            <v>228</v>
          </cell>
        </row>
        <row r="46">
          <cell r="A46" t="str">
            <v>305102 - Bank Charges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Total - ADMINISTRATIVE EXPENSES - ADMINISTRATIVE EXPENSES</v>
          </cell>
          <cell r="B47">
            <v>1251.75</v>
          </cell>
          <cell r="C47">
            <v>1351.75</v>
          </cell>
          <cell r="D47">
            <v>1051.75</v>
          </cell>
          <cell r="E47">
            <v>1351.75</v>
          </cell>
          <cell r="F47">
            <v>1351.75</v>
          </cell>
          <cell r="G47">
            <v>1351.75</v>
          </cell>
          <cell r="H47">
            <v>1401.75</v>
          </cell>
          <cell r="I47">
            <v>1351.75</v>
          </cell>
          <cell r="J47">
            <v>1351.75</v>
          </cell>
          <cell r="K47">
            <v>1251.75</v>
          </cell>
          <cell r="L47">
            <v>1051.75</v>
          </cell>
          <cell r="M47">
            <v>1051.75</v>
          </cell>
          <cell r="N47">
            <v>15171</v>
          </cell>
        </row>
        <row r="48">
          <cell r="A48" t="str">
            <v>EMPLOYEE BENEFITS EXPENSE - EMPLOYEE BENEFITS EXPENSE</v>
          </cell>
          <cell r="B48">
            <v>0.62058204923860283</v>
          </cell>
          <cell r="C48">
            <v>0.39086188696267671</v>
          </cell>
          <cell r="D48">
            <v>0.37623780275659019</v>
          </cell>
          <cell r="E48">
            <v>0.48137195115749992</v>
          </cell>
          <cell r="F48">
            <v>0.39978348485961868</v>
          </cell>
          <cell r="G48">
            <v>0.46657504241734848</v>
          </cell>
          <cell r="H48">
            <v>0.39417994018065</v>
          </cell>
          <cell r="I48">
            <v>0.38228890772637764</v>
          </cell>
          <cell r="J48">
            <v>0.4119597900446561</v>
          </cell>
          <cell r="K48">
            <v>0.40150493083245237</v>
          </cell>
          <cell r="L48">
            <v>0.43711018668450158</v>
          </cell>
          <cell r="M48">
            <v>0.72607079893430226</v>
          </cell>
          <cell r="N48">
            <v>0.42821583086780501</v>
          </cell>
        </row>
        <row r="49">
          <cell r="A49" t="str">
            <v>304001 - Salaries &amp; Wages - Permanent Staff</v>
          </cell>
          <cell r="B49">
            <v>4050</v>
          </cell>
          <cell r="C49">
            <v>4500</v>
          </cell>
          <cell r="D49">
            <v>4500</v>
          </cell>
          <cell r="E49">
            <v>4700</v>
          </cell>
          <cell r="F49">
            <v>4900</v>
          </cell>
          <cell r="G49">
            <v>4300</v>
          </cell>
          <cell r="H49">
            <v>5100</v>
          </cell>
          <cell r="I49">
            <v>4900</v>
          </cell>
          <cell r="J49">
            <v>4700</v>
          </cell>
          <cell r="K49">
            <v>5100</v>
          </cell>
          <cell r="L49">
            <v>4700</v>
          </cell>
          <cell r="M49">
            <v>3600</v>
          </cell>
          <cell r="N49">
            <v>55050</v>
          </cell>
        </row>
        <row r="50">
          <cell r="A50" t="str">
            <v>304004 - Salaries &amp; Wages - Other</v>
          </cell>
          <cell r="B50">
            <v>2000</v>
          </cell>
          <cell r="C50">
            <v>4700</v>
          </cell>
          <cell r="D50">
            <v>4700</v>
          </cell>
          <cell r="E50">
            <v>4700</v>
          </cell>
          <cell r="F50">
            <v>4900</v>
          </cell>
          <cell r="G50">
            <v>2000</v>
          </cell>
          <cell r="H50">
            <v>3000</v>
          </cell>
          <cell r="I50">
            <v>4900</v>
          </cell>
          <cell r="J50">
            <v>4500</v>
          </cell>
          <cell r="K50">
            <v>4500</v>
          </cell>
          <cell r="L50">
            <v>2000</v>
          </cell>
          <cell r="M50">
            <v>1500</v>
          </cell>
          <cell r="N50">
            <v>43400</v>
          </cell>
        </row>
        <row r="51">
          <cell r="A51" t="str">
            <v>304010 - Superannuation</v>
          </cell>
          <cell r="B51">
            <v>755.23924800625002</v>
          </cell>
          <cell r="C51">
            <v>1131.2227755625001</v>
          </cell>
          <cell r="D51">
            <v>1131.2227755625001</v>
          </cell>
          <cell r="E51">
            <v>1156.8765655875</v>
          </cell>
          <cell r="F51">
            <v>1206.1053556125</v>
          </cell>
          <cell r="G51">
            <v>787.30648553750007</v>
          </cell>
          <cell r="H51">
            <v>1007.7966456375</v>
          </cell>
          <cell r="I51">
            <v>1206.1053556125</v>
          </cell>
          <cell r="J51">
            <v>1133.3015655874999</v>
          </cell>
          <cell r="K51">
            <v>1184.6091456375</v>
          </cell>
          <cell r="L51">
            <v>838.61406558750002</v>
          </cell>
          <cell r="M51">
            <v>638.58072045000006</v>
          </cell>
          <cell r="N51">
            <v>12176.980704381253</v>
          </cell>
        </row>
        <row r="52">
          <cell r="A52" t="str">
            <v>304013 - Workers Compensation Insurance</v>
          </cell>
          <cell r="B52">
            <v>62.389329183124993</v>
          </cell>
          <cell r="C52">
            <v>93.448837981249994</v>
          </cell>
          <cell r="D52">
            <v>93.448837981249994</v>
          </cell>
          <cell r="E52">
            <v>95.568064113749983</v>
          </cell>
          <cell r="F52">
            <v>99.634790246249992</v>
          </cell>
          <cell r="G52">
            <v>65.03836184875</v>
          </cell>
          <cell r="H52">
            <v>83.252766378749996</v>
          </cell>
          <cell r="I52">
            <v>99.634790246249992</v>
          </cell>
          <cell r="J52">
            <v>93.620564113749992</v>
          </cell>
          <cell r="K52">
            <v>97.859016378749985</v>
          </cell>
          <cell r="L52">
            <v>69.276814113749992</v>
          </cell>
          <cell r="M52">
            <v>52.752320384999997</v>
          </cell>
          <cell r="N52">
            <v>1005.9244929706249</v>
          </cell>
        </row>
        <row r="53">
          <cell r="A53" t="str">
            <v>304016 - Annual Leave Provision</v>
          </cell>
          <cell r="B53">
            <v>366.04780875000006</v>
          </cell>
          <cell r="C53">
            <v>406.7197875</v>
          </cell>
          <cell r="D53">
            <v>406.7197875</v>
          </cell>
          <cell r="E53">
            <v>424.79622250000006</v>
          </cell>
          <cell r="F53">
            <v>442.87265750000006</v>
          </cell>
          <cell r="G53">
            <v>388.64335250000005</v>
          </cell>
          <cell r="H53">
            <v>460.94909250000001</v>
          </cell>
          <cell r="I53">
            <v>442.87265750000006</v>
          </cell>
          <cell r="J53">
            <v>424.79622250000006</v>
          </cell>
          <cell r="K53">
            <v>460.94909250000001</v>
          </cell>
          <cell r="L53">
            <v>424.79622250000006</v>
          </cell>
          <cell r="M53">
            <v>325.37583000000001</v>
          </cell>
          <cell r="N53">
            <v>4975.5387337500006</v>
          </cell>
        </row>
        <row r="54">
          <cell r="A54" t="str">
            <v>304019 - Long Service Leave Provision</v>
          </cell>
          <cell r="B54">
            <v>151.25</v>
          </cell>
          <cell r="C54">
            <v>230</v>
          </cell>
          <cell r="D54">
            <v>230</v>
          </cell>
          <cell r="E54">
            <v>235</v>
          </cell>
          <cell r="F54">
            <v>245</v>
          </cell>
          <cell r="G54">
            <v>157.5</v>
          </cell>
          <cell r="H54">
            <v>202.5</v>
          </cell>
          <cell r="I54">
            <v>245</v>
          </cell>
          <cell r="J54">
            <v>230</v>
          </cell>
          <cell r="K54">
            <v>240</v>
          </cell>
          <cell r="L54">
            <v>167.5</v>
          </cell>
          <cell r="M54">
            <v>127.5</v>
          </cell>
          <cell r="N54">
            <v>2461.25</v>
          </cell>
        </row>
        <row r="55">
          <cell r="A55" t="str">
            <v>Total - EMPLOYEE BENEFITS EXPENSE - EMPLOYEE BENEFITS EXPENSE</v>
          </cell>
          <cell r="B55">
            <v>7384.9263859393741</v>
          </cell>
          <cell r="C55">
            <v>11061.391401043751</v>
          </cell>
          <cell r="D55">
            <v>11061.391401043751</v>
          </cell>
          <cell r="E55">
            <v>11312.240852201248</v>
          </cell>
          <cell r="F55">
            <v>11793.61280335875</v>
          </cell>
          <cell r="G55">
            <v>7698.4881998862502</v>
          </cell>
          <cell r="H55">
            <v>9854.4985045162503</v>
          </cell>
          <cell r="I55">
            <v>11793.61280335875</v>
          </cell>
          <cell r="J55">
            <v>11081.718352201249</v>
          </cell>
          <cell r="K55">
            <v>11583.417254516251</v>
          </cell>
          <cell r="L55">
            <v>8200.1871022012492</v>
          </cell>
          <cell r="M55">
            <v>6244.2088708349993</v>
          </cell>
          <cell r="N55">
            <v>119069.69393110187</v>
          </cell>
          <cell r="O55">
            <v>0.42821583086780501</v>
          </cell>
        </row>
        <row r="56">
          <cell r="A56" t="str">
            <v>Total - Expenses</v>
          </cell>
          <cell r="B56">
            <v>8636.6763859393741</v>
          </cell>
          <cell r="C56">
            <v>12413.141401043751</v>
          </cell>
          <cell r="D56">
            <v>12113.141401043751</v>
          </cell>
          <cell r="E56">
            <v>12663.990852201248</v>
          </cell>
          <cell r="F56">
            <v>13145.36280335875</v>
          </cell>
          <cell r="G56">
            <v>9050.2381998862511</v>
          </cell>
          <cell r="H56">
            <v>11256.24850451625</v>
          </cell>
          <cell r="I56">
            <v>13145.36280335875</v>
          </cell>
          <cell r="J56">
            <v>12433.468352201249</v>
          </cell>
          <cell r="K56">
            <v>12835.167254516251</v>
          </cell>
          <cell r="L56">
            <v>9251.9371022012492</v>
          </cell>
          <cell r="M56">
            <v>7295.9588708349993</v>
          </cell>
          <cell r="N56">
            <v>134240.69393110188</v>
          </cell>
        </row>
        <row r="57">
          <cell r="A57" t="str">
            <v>Operating Profit</v>
          </cell>
          <cell r="B57">
            <v>-1020.6763859393741</v>
          </cell>
          <cell r="C57">
            <v>5698.8585989562489</v>
          </cell>
          <cell r="D57">
            <v>6702.8585989562489</v>
          </cell>
          <cell r="E57">
            <v>2376.0091477987517</v>
          </cell>
          <cell r="F57">
            <v>5734.6371966412498</v>
          </cell>
          <cell r="G57">
            <v>1509.7618001137489</v>
          </cell>
          <cell r="H57">
            <v>4743.7514954837497</v>
          </cell>
          <cell r="I57">
            <v>6598.6371966412498</v>
          </cell>
          <cell r="J57">
            <v>4782.5316477987508</v>
          </cell>
          <cell r="K57">
            <v>5628.832745483749</v>
          </cell>
          <cell r="L57">
            <v>2754.4628977987522</v>
          </cell>
          <cell r="M57">
            <v>-1791.9588708349993</v>
          </cell>
          <cell r="N57">
            <v>43717.706068898115</v>
          </cell>
        </row>
        <row r="58">
          <cell r="A58" t="str">
            <v>Net Profit/(Loss)</v>
          </cell>
          <cell r="B58">
            <v>-1020.6763859393741</v>
          </cell>
          <cell r="C58">
            <v>5698.8585989562489</v>
          </cell>
          <cell r="D58">
            <v>6702.8585989562489</v>
          </cell>
          <cell r="E58">
            <v>2376.0091477987517</v>
          </cell>
          <cell r="F58">
            <v>5734.6371966412498</v>
          </cell>
          <cell r="G58">
            <v>1509.7618001137489</v>
          </cell>
          <cell r="H58">
            <v>4743.7514954837497</v>
          </cell>
          <cell r="I58">
            <v>6598.6371966412498</v>
          </cell>
          <cell r="J58">
            <v>4782.5316477987508</v>
          </cell>
          <cell r="K58">
            <v>5628.832745483749</v>
          </cell>
          <cell r="L58">
            <v>2754.4628977987522</v>
          </cell>
          <cell r="M58">
            <v>-1791.9588708349993</v>
          </cell>
          <cell r="N58">
            <v>43717.706068898115</v>
          </cell>
        </row>
      </sheetData>
      <sheetData sheetId="6">
        <row r="1">
          <cell r="A1" t="str">
            <v>Guild of Undergraduates</v>
          </cell>
        </row>
        <row r="2">
          <cell r="A2" t="str">
            <v>Budget 2024</v>
          </cell>
        </row>
        <row r="3">
          <cell r="A3" t="str">
            <v>Nedlands Café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>Financial Row</v>
          </cell>
        </row>
        <row r="7">
          <cell r="A7" t="str">
            <v> </v>
          </cell>
          <cell r="B7" t="str">
            <v>Budget Amount</v>
          </cell>
          <cell r="C7" t="str">
            <v>Budget Amount</v>
          </cell>
          <cell r="D7" t="str">
            <v>Budget Amount</v>
          </cell>
          <cell r="E7" t="str">
            <v>Budget Amount</v>
          </cell>
          <cell r="F7" t="str">
            <v>Budget Amount</v>
          </cell>
          <cell r="G7" t="str">
            <v>Budget Amount</v>
          </cell>
          <cell r="H7" t="str">
            <v>Budget Amount</v>
          </cell>
          <cell r="I7" t="str">
            <v>Budget Amount</v>
          </cell>
          <cell r="J7" t="str">
            <v>Budget Amount</v>
          </cell>
          <cell r="K7" t="str">
            <v>Budget Amount</v>
          </cell>
          <cell r="L7" t="str">
            <v>Budget Amount</v>
          </cell>
          <cell r="M7" t="str">
            <v>Budget Amount</v>
          </cell>
          <cell r="N7" t="str">
            <v>Budget Amount</v>
          </cell>
        </row>
        <row r="8">
          <cell r="A8" t="str">
            <v>Income</v>
          </cell>
          <cell r="B8" t="str">
            <v>Jan</v>
          </cell>
          <cell r="C8" t="str">
            <v>Feb</v>
          </cell>
          <cell r="D8" t="str">
            <v>March</v>
          </cell>
          <cell r="E8" t="str">
            <v>April</v>
          </cell>
          <cell r="F8" t="str">
            <v>May</v>
          </cell>
          <cell r="G8" t="str">
            <v>June</v>
          </cell>
          <cell r="H8" t="str">
            <v>July</v>
          </cell>
          <cell r="I8" t="str">
            <v>Aug</v>
          </cell>
          <cell r="J8" t="str">
            <v>Sept</v>
          </cell>
          <cell r="K8" t="str">
            <v>Oct</v>
          </cell>
          <cell r="L8" t="str">
            <v>Nov</v>
          </cell>
          <cell r="M8" t="str">
            <v>Dec</v>
          </cell>
        </row>
        <row r="9">
          <cell r="A9" t="str">
            <v>SALES OF GOODS - SALES OF GOODS</v>
          </cell>
        </row>
        <row r="10">
          <cell r="A10" t="str">
            <v>101001 - Sales - Catering</v>
          </cell>
          <cell r="B10">
            <v>0</v>
          </cell>
          <cell r="C10">
            <v>2065</v>
          </cell>
          <cell r="D10">
            <v>10835</v>
          </cell>
          <cell r="E10">
            <v>8220</v>
          </cell>
          <cell r="F10">
            <v>7970</v>
          </cell>
          <cell r="G10">
            <v>0</v>
          </cell>
          <cell r="H10">
            <v>3195</v>
          </cell>
          <cell r="I10">
            <v>10360</v>
          </cell>
          <cell r="J10">
            <v>6465</v>
          </cell>
          <cell r="K10">
            <v>5885</v>
          </cell>
          <cell r="L10">
            <v>0</v>
          </cell>
          <cell r="M10">
            <v>0</v>
          </cell>
          <cell r="N10">
            <v>54995</v>
          </cell>
        </row>
        <row r="11">
          <cell r="A11" t="str">
            <v>101005 - Sales - End of Day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101050 - Under/Overs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Total - SALES OF GOODS - SALES OF GOODS</v>
          </cell>
          <cell r="B13">
            <v>0</v>
          </cell>
          <cell r="C13">
            <v>2065</v>
          </cell>
          <cell r="D13">
            <v>10835</v>
          </cell>
          <cell r="E13">
            <v>8220</v>
          </cell>
          <cell r="F13">
            <v>7970</v>
          </cell>
          <cell r="G13">
            <v>0</v>
          </cell>
          <cell r="H13">
            <v>3195</v>
          </cell>
          <cell r="I13">
            <v>10360</v>
          </cell>
          <cell r="J13">
            <v>6465</v>
          </cell>
          <cell r="K13">
            <v>5885</v>
          </cell>
          <cell r="L13">
            <v>0</v>
          </cell>
          <cell r="M13">
            <v>0</v>
          </cell>
          <cell r="N13">
            <v>54995</v>
          </cell>
        </row>
        <row r="14">
          <cell r="A14" t="str">
            <v>SALES CATERING DISCOUNT - SALES CATERING DISCOUNT</v>
          </cell>
        </row>
        <row r="15">
          <cell r="A15" t="str">
            <v>102000 - Guild Member Discount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102003 - Other Promotional Discounts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- SALES CATERING DISCOUNT - SALES CATERING DISCOUNT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Total - Income</v>
          </cell>
          <cell r="B18">
            <v>0</v>
          </cell>
          <cell r="C18">
            <v>2065</v>
          </cell>
          <cell r="D18">
            <v>10835</v>
          </cell>
          <cell r="E18">
            <v>8220</v>
          </cell>
          <cell r="F18">
            <v>7970</v>
          </cell>
          <cell r="G18">
            <v>0</v>
          </cell>
          <cell r="H18">
            <v>3195</v>
          </cell>
          <cell r="I18">
            <v>10360</v>
          </cell>
          <cell r="J18">
            <v>6465</v>
          </cell>
          <cell r="K18">
            <v>5885</v>
          </cell>
          <cell r="L18">
            <v>0</v>
          </cell>
          <cell r="M18">
            <v>0</v>
          </cell>
          <cell r="N18">
            <v>54995</v>
          </cell>
        </row>
        <row r="19">
          <cell r="A19" t="str">
            <v>Cost Of Sales</v>
          </cell>
          <cell r="B19">
            <v>0</v>
          </cell>
          <cell r="C19">
            <v>0.34</v>
          </cell>
          <cell r="D19">
            <v>0.34</v>
          </cell>
          <cell r="E19">
            <v>0.34</v>
          </cell>
          <cell r="F19">
            <v>0.34</v>
          </cell>
          <cell r="G19">
            <v>0</v>
          </cell>
          <cell r="H19">
            <v>0.34</v>
          </cell>
          <cell r="I19">
            <v>0.34</v>
          </cell>
          <cell r="J19">
            <v>0.34</v>
          </cell>
          <cell r="K19">
            <v>0.34</v>
          </cell>
          <cell r="L19">
            <v>0</v>
          </cell>
          <cell r="M19">
            <v>0</v>
          </cell>
        </row>
        <row r="20">
          <cell r="A20" t="str">
            <v>201070 - Cost of Goods Sold</v>
          </cell>
          <cell r="B20">
            <v>0</v>
          </cell>
          <cell r="C20">
            <v>702.1</v>
          </cell>
          <cell r="D20">
            <v>3683.9</v>
          </cell>
          <cell r="E20">
            <v>2794.8</v>
          </cell>
          <cell r="F20">
            <v>2709.8</v>
          </cell>
          <cell r="G20">
            <v>0</v>
          </cell>
          <cell r="H20">
            <v>1086.3000000000002</v>
          </cell>
          <cell r="I20">
            <v>3522.4</v>
          </cell>
          <cell r="J20">
            <v>2198.1000000000004</v>
          </cell>
          <cell r="K20">
            <v>2000.9</v>
          </cell>
          <cell r="L20">
            <v>0</v>
          </cell>
          <cell r="M20">
            <v>0</v>
          </cell>
          <cell r="N20">
            <v>18698.300000000003</v>
          </cell>
        </row>
        <row r="21">
          <cell r="A21" t="str">
            <v>201075 - FREIGHT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201600 - Inter Department Transfers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Total - Cost Of Sales</v>
          </cell>
          <cell r="B23">
            <v>0</v>
          </cell>
          <cell r="C23">
            <v>702.1</v>
          </cell>
          <cell r="D23">
            <v>3683.9</v>
          </cell>
          <cell r="E23">
            <v>2794.8</v>
          </cell>
          <cell r="F23">
            <v>2709.8</v>
          </cell>
          <cell r="G23">
            <v>0</v>
          </cell>
          <cell r="H23">
            <v>1086.3000000000002</v>
          </cell>
          <cell r="I23">
            <v>3522.4</v>
          </cell>
          <cell r="J23">
            <v>2198.1000000000004</v>
          </cell>
          <cell r="K23">
            <v>2000.9</v>
          </cell>
          <cell r="L23">
            <v>0</v>
          </cell>
          <cell r="M23">
            <v>0</v>
          </cell>
          <cell r="N23">
            <v>18698.300000000003</v>
          </cell>
        </row>
        <row r="24">
          <cell r="A24" t="str">
            <v>Gross Profit</v>
          </cell>
          <cell r="B24">
            <v>0</v>
          </cell>
          <cell r="C24">
            <v>1362.9</v>
          </cell>
          <cell r="D24">
            <v>7151.1</v>
          </cell>
          <cell r="E24">
            <v>5425.2</v>
          </cell>
          <cell r="F24">
            <v>5260.2</v>
          </cell>
          <cell r="G24">
            <v>0</v>
          </cell>
          <cell r="H24">
            <v>2108.6999999999998</v>
          </cell>
          <cell r="I24">
            <v>6837.6</v>
          </cell>
          <cell r="J24">
            <v>4266.8999999999996</v>
          </cell>
          <cell r="K24">
            <v>3884.1</v>
          </cell>
          <cell r="L24">
            <v>0</v>
          </cell>
          <cell r="M24">
            <v>0</v>
          </cell>
          <cell r="N24">
            <v>36296.699999999997</v>
          </cell>
        </row>
        <row r="25">
          <cell r="A25" t="str">
            <v>Expenses</v>
          </cell>
        </row>
        <row r="26">
          <cell r="A26" t="str">
            <v>ADMINISTRATIVE EXPENSES - ADMINISTRATIVE EXPENSES</v>
          </cell>
        </row>
        <row r="27">
          <cell r="A27" t="str">
            <v>305108 - Cleaning Contract</v>
          </cell>
          <cell r="B27">
            <v>200</v>
          </cell>
          <cell r="C27">
            <v>200</v>
          </cell>
          <cell r="D27">
            <v>200</v>
          </cell>
          <cell r="E27">
            <v>200</v>
          </cell>
          <cell r="F27">
            <v>200</v>
          </cell>
          <cell r="G27">
            <v>200</v>
          </cell>
          <cell r="H27">
            <v>200</v>
          </cell>
          <cell r="I27">
            <v>200</v>
          </cell>
          <cell r="J27">
            <v>200</v>
          </cell>
          <cell r="K27">
            <v>200</v>
          </cell>
          <cell r="L27">
            <v>200</v>
          </cell>
          <cell r="M27">
            <v>200</v>
          </cell>
          <cell r="N27">
            <v>2400</v>
          </cell>
          <cell r="O27" t="str">
            <v>Dunbar $1303/ Jaymak $539 x2</v>
          </cell>
        </row>
        <row r="28">
          <cell r="A28" t="str">
            <v>305109 - Cleaning Consumables</v>
          </cell>
          <cell r="B28">
            <v>0</v>
          </cell>
          <cell r="C28">
            <v>25</v>
          </cell>
          <cell r="D28">
            <v>20</v>
          </cell>
          <cell r="E28">
            <v>20</v>
          </cell>
          <cell r="F28">
            <v>20</v>
          </cell>
          <cell r="G28">
            <v>0</v>
          </cell>
          <cell r="H28">
            <v>25</v>
          </cell>
          <cell r="I28">
            <v>20</v>
          </cell>
          <cell r="J28">
            <v>20</v>
          </cell>
          <cell r="K28">
            <v>20</v>
          </cell>
          <cell r="L28">
            <v>0</v>
          </cell>
          <cell r="M28">
            <v>0</v>
          </cell>
          <cell r="N28">
            <v>170</v>
          </cell>
        </row>
        <row r="29">
          <cell r="A29" t="str">
            <v>305111 - Communication Expenses</v>
          </cell>
          <cell r="B29">
            <v>40</v>
          </cell>
          <cell r="C29">
            <v>40</v>
          </cell>
          <cell r="D29">
            <v>40</v>
          </cell>
          <cell r="E29">
            <v>40</v>
          </cell>
          <cell r="F29">
            <v>40</v>
          </cell>
          <cell r="G29">
            <v>40</v>
          </cell>
          <cell r="H29">
            <v>40</v>
          </cell>
          <cell r="I29">
            <v>40</v>
          </cell>
          <cell r="J29">
            <v>40</v>
          </cell>
          <cell r="K29">
            <v>40</v>
          </cell>
          <cell r="L29">
            <v>40</v>
          </cell>
          <cell r="M29">
            <v>40</v>
          </cell>
          <cell r="N29">
            <v>480</v>
          </cell>
        </row>
        <row r="30">
          <cell r="A30" t="str">
            <v>305112 - Paper Products &amp; Packaging</v>
          </cell>
          <cell r="B30">
            <v>0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0</v>
          </cell>
          <cell r="H30">
            <v>150</v>
          </cell>
          <cell r="I30">
            <v>100</v>
          </cell>
          <cell r="J30">
            <v>100</v>
          </cell>
          <cell r="K30">
            <v>100</v>
          </cell>
          <cell r="L30">
            <v>0</v>
          </cell>
          <cell r="M30">
            <v>0</v>
          </cell>
          <cell r="N30">
            <v>850</v>
          </cell>
        </row>
        <row r="31">
          <cell r="A31" t="str">
            <v>305114 - Computer Expenses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305132 - Utilities</v>
          </cell>
          <cell r="B32">
            <v>200</v>
          </cell>
          <cell r="C32">
            <v>1000</v>
          </cell>
          <cell r="D32">
            <v>1000</v>
          </cell>
          <cell r="E32">
            <v>1000</v>
          </cell>
          <cell r="F32">
            <v>1000</v>
          </cell>
          <cell r="G32">
            <v>1000</v>
          </cell>
          <cell r="H32">
            <v>1000</v>
          </cell>
          <cell r="I32">
            <v>1000</v>
          </cell>
          <cell r="J32">
            <v>1000</v>
          </cell>
          <cell r="K32">
            <v>1000</v>
          </cell>
          <cell r="L32">
            <v>500</v>
          </cell>
          <cell r="M32">
            <v>200</v>
          </cell>
          <cell r="N32">
            <v>9900</v>
          </cell>
        </row>
        <row r="33">
          <cell r="A33" t="str">
            <v>305147 - General Expenses</v>
          </cell>
          <cell r="B33">
            <v>0</v>
          </cell>
          <cell r="C33">
            <v>10</v>
          </cell>
          <cell r="D33">
            <v>10</v>
          </cell>
          <cell r="E33">
            <v>10</v>
          </cell>
          <cell r="F33">
            <v>10</v>
          </cell>
          <cell r="G33">
            <v>0</v>
          </cell>
          <cell r="H33">
            <v>10</v>
          </cell>
          <cell r="I33">
            <v>10</v>
          </cell>
          <cell r="J33">
            <v>10</v>
          </cell>
          <cell r="K33">
            <v>10</v>
          </cell>
          <cell r="L33">
            <v>0</v>
          </cell>
          <cell r="M33">
            <v>0</v>
          </cell>
          <cell r="N33">
            <v>80</v>
          </cell>
        </row>
        <row r="34">
          <cell r="A34" t="str">
            <v>305156 - Laundry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 t="str">
            <v>NA casuals only</v>
          </cell>
        </row>
        <row r="35">
          <cell r="A35" t="str">
            <v>305162 - Licence &amp; Permits</v>
          </cell>
          <cell r="B35">
            <v>44</v>
          </cell>
          <cell r="C35">
            <v>44</v>
          </cell>
          <cell r="D35">
            <v>44</v>
          </cell>
          <cell r="E35">
            <v>44</v>
          </cell>
          <cell r="F35">
            <v>44</v>
          </cell>
          <cell r="G35">
            <v>44</v>
          </cell>
          <cell r="H35">
            <v>44</v>
          </cell>
          <cell r="I35">
            <v>44</v>
          </cell>
          <cell r="J35">
            <v>44</v>
          </cell>
          <cell r="K35">
            <v>44</v>
          </cell>
          <cell r="L35">
            <v>44</v>
          </cell>
          <cell r="M35">
            <v>44</v>
          </cell>
          <cell r="N35">
            <v>528</v>
          </cell>
          <cell r="O35" t="str">
            <v>City of Perth $260 x 2 = $520</v>
          </cell>
        </row>
        <row r="36">
          <cell r="A36" t="str">
            <v>305168 - Occupational  Health &amp; Safety</v>
          </cell>
          <cell r="B36">
            <v>17</v>
          </cell>
          <cell r="C36">
            <v>17</v>
          </cell>
          <cell r="D36">
            <v>17</v>
          </cell>
          <cell r="E36">
            <v>17</v>
          </cell>
          <cell r="F36">
            <v>17</v>
          </cell>
          <cell r="G36">
            <v>17</v>
          </cell>
          <cell r="H36">
            <v>17</v>
          </cell>
          <cell r="I36">
            <v>17</v>
          </cell>
          <cell r="J36">
            <v>17</v>
          </cell>
          <cell r="K36">
            <v>17</v>
          </cell>
          <cell r="L36">
            <v>17</v>
          </cell>
          <cell r="M36">
            <v>17</v>
          </cell>
          <cell r="N36">
            <v>204</v>
          </cell>
          <cell r="O36" t="str">
            <v>First Aid Kit $89x2</v>
          </cell>
        </row>
        <row r="37">
          <cell r="A37" t="str">
            <v>305180 - Printing &amp; Stationery</v>
          </cell>
          <cell r="B37">
            <v>0</v>
          </cell>
          <cell r="C37">
            <v>10</v>
          </cell>
          <cell r="D37">
            <v>10</v>
          </cell>
          <cell r="E37">
            <v>10</v>
          </cell>
          <cell r="F37">
            <v>10</v>
          </cell>
          <cell r="G37">
            <v>0</v>
          </cell>
          <cell r="H37">
            <v>10</v>
          </cell>
          <cell r="I37">
            <v>10</v>
          </cell>
          <cell r="J37">
            <v>10</v>
          </cell>
          <cell r="K37">
            <v>10</v>
          </cell>
          <cell r="L37">
            <v>0</v>
          </cell>
          <cell r="M37">
            <v>0</v>
          </cell>
          <cell r="N37">
            <v>80</v>
          </cell>
        </row>
        <row r="38">
          <cell r="A38" t="str">
            <v>305185 - Minor Assets</v>
          </cell>
          <cell r="B38">
            <v>50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600</v>
          </cell>
        </row>
        <row r="39">
          <cell r="A39" t="str">
            <v>305187 - Software Digital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200</v>
          </cell>
          <cell r="H39">
            <v>200</v>
          </cell>
          <cell r="I39">
            <v>200</v>
          </cell>
          <cell r="J39">
            <v>200</v>
          </cell>
          <cell r="K39">
            <v>200</v>
          </cell>
          <cell r="L39">
            <v>200</v>
          </cell>
          <cell r="M39">
            <v>200</v>
          </cell>
          <cell r="N39">
            <v>2400</v>
          </cell>
        </row>
        <row r="40">
          <cell r="A40" t="str">
            <v>305189 - Repairs &amp; Maintenance</v>
          </cell>
          <cell r="B40">
            <v>100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1200</v>
          </cell>
        </row>
        <row r="41">
          <cell r="A41" t="str">
            <v>305197 - Replacement of Glass/Cutlery</v>
          </cell>
          <cell r="B41">
            <v>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0</v>
          </cell>
          <cell r="M41">
            <v>0</v>
          </cell>
          <cell r="N41">
            <v>80</v>
          </cell>
        </row>
        <row r="42">
          <cell r="A42" t="str">
            <v>305225 - Uniforms</v>
          </cell>
          <cell r="B42">
            <v>0</v>
          </cell>
          <cell r="C42">
            <v>10</v>
          </cell>
          <cell r="D42">
            <v>10</v>
          </cell>
          <cell r="E42">
            <v>10</v>
          </cell>
          <cell r="F42">
            <v>10</v>
          </cell>
          <cell r="G42">
            <v>0</v>
          </cell>
          <cell r="H42">
            <v>10</v>
          </cell>
          <cell r="I42">
            <v>10</v>
          </cell>
          <cell r="J42">
            <v>10</v>
          </cell>
          <cell r="K42">
            <v>10</v>
          </cell>
          <cell r="L42">
            <v>0</v>
          </cell>
          <cell r="M42">
            <v>0</v>
          </cell>
          <cell r="N42">
            <v>80</v>
          </cell>
        </row>
        <row r="43">
          <cell r="A43" t="str">
            <v>305228 - Waste Control</v>
          </cell>
          <cell r="B43">
            <v>300</v>
          </cell>
          <cell r="C43">
            <v>300</v>
          </cell>
          <cell r="D43">
            <v>300</v>
          </cell>
          <cell r="E43">
            <v>300</v>
          </cell>
          <cell r="F43">
            <v>300</v>
          </cell>
          <cell r="G43">
            <v>300</v>
          </cell>
          <cell r="H43">
            <v>300</v>
          </cell>
          <cell r="I43">
            <v>300</v>
          </cell>
          <cell r="J43">
            <v>300</v>
          </cell>
          <cell r="K43">
            <v>300</v>
          </cell>
          <cell r="L43">
            <v>300</v>
          </cell>
          <cell r="M43">
            <v>300</v>
          </cell>
          <cell r="N43">
            <v>3600</v>
          </cell>
          <cell r="O43" t="str">
            <v>Cleanaway</v>
          </cell>
        </row>
        <row r="44">
          <cell r="A44" t="str">
            <v>306005 - Depreciation - Property</v>
          </cell>
          <cell r="B44">
            <v>81.23</v>
          </cell>
          <cell r="C44">
            <v>81.23</v>
          </cell>
          <cell r="D44">
            <v>81.23</v>
          </cell>
          <cell r="E44">
            <v>81.23</v>
          </cell>
          <cell r="F44">
            <v>81.23</v>
          </cell>
          <cell r="G44">
            <v>81.23</v>
          </cell>
          <cell r="H44">
            <v>81.23</v>
          </cell>
          <cell r="I44">
            <v>81.23</v>
          </cell>
          <cell r="J44">
            <v>81.23</v>
          </cell>
          <cell r="K44">
            <v>81.23</v>
          </cell>
          <cell r="L44">
            <v>81.23</v>
          </cell>
          <cell r="M44">
            <v>81.23</v>
          </cell>
          <cell r="N44">
            <v>974.7600000000001</v>
          </cell>
        </row>
        <row r="45">
          <cell r="A45" t="str">
            <v>Total - ADMINISTRATIVE EXPENSES - ADMINISTRATIVE EXPENSES</v>
          </cell>
          <cell r="B45">
            <v>1232.23</v>
          </cell>
          <cell r="C45">
            <v>2197.23</v>
          </cell>
          <cell r="D45">
            <v>2192.23</v>
          </cell>
          <cell r="E45">
            <v>2192.23</v>
          </cell>
          <cell r="F45">
            <v>2192.23</v>
          </cell>
          <cell r="G45">
            <v>2032.23</v>
          </cell>
          <cell r="H45">
            <v>2247.23</v>
          </cell>
          <cell r="I45">
            <v>2192.23</v>
          </cell>
          <cell r="J45">
            <v>2192.23</v>
          </cell>
          <cell r="K45">
            <v>2192.23</v>
          </cell>
          <cell r="L45">
            <v>1532.23</v>
          </cell>
          <cell r="M45">
            <v>1232.23</v>
          </cell>
          <cell r="N45">
            <v>23626.76</v>
          </cell>
        </row>
        <row r="46">
          <cell r="A46" t="str">
            <v>EMPLOYEE BENEFITS EXPENSE - EMPLOYEE BENEFITS EXPENSE</v>
          </cell>
        </row>
        <row r="47">
          <cell r="A47" t="str">
            <v>304001 - Salaries &amp; Wages - Permanent Staff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304004 - Salaries &amp; Wages - Other</v>
          </cell>
          <cell r="B48">
            <v>0</v>
          </cell>
          <cell r="C48">
            <v>950</v>
          </cell>
          <cell r="D48">
            <v>3600</v>
          </cell>
          <cell r="E48">
            <v>3600</v>
          </cell>
          <cell r="F48">
            <v>3600</v>
          </cell>
          <cell r="G48">
            <v>0</v>
          </cell>
          <cell r="H48">
            <v>1910</v>
          </cell>
          <cell r="I48">
            <v>4500</v>
          </cell>
          <cell r="J48">
            <v>3200</v>
          </cell>
          <cell r="K48">
            <v>3100</v>
          </cell>
          <cell r="L48">
            <v>0</v>
          </cell>
          <cell r="M48">
            <v>0</v>
          </cell>
          <cell r="N48">
            <v>24460</v>
          </cell>
          <cell r="O48">
            <v>0.44476770615510502</v>
          </cell>
          <cell r="P48" t="str">
            <v>4% increase from July</v>
          </cell>
        </row>
        <row r="49">
          <cell r="A49" t="str">
            <v>304010 - Superannuation</v>
          </cell>
          <cell r="B49">
            <v>0</v>
          </cell>
          <cell r="C49">
            <v>111.98125</v>
          </cell>
          <cell r="D49">
            <v>424.35</v>
          </cell>
          <cell r="E49">
            <v>424.35</v>
          </cell>
          <cell r="F49">
            <v>424.35</v>
          </cell>
          <cell r="G49">
            <v>0</v>
          </cell>
          <cell r="H49">
            <v>225.14125000000001</v>
          </cell>
          <cell r="I49">
            <v>530.4375</v>
          </cell>
          <cell r="J49">
            <v>377.2</v>
          </cell>
          <cell r="K49">
            <v>365.41250000000002</v>
          </cell>
          <cell r="L49">
            <v>0</v>
          </cell>
          <cell r="M49">
            <v>0</v>
          </cell>
          <cell r="N49">
            <v>2883.2224999999999</v>
          </cell>
        </row>
        <row r="50">
          <cell r="A50" t="str">
            <v>304013 - Workers Compensation Insurance</v>
          </cell>
          <cell r="B50">
            <v>0</v>
          </cell>
          <cell r="C50">
            <v>9.2506249999999994</v>
          </cell>
          <cell r="D50">
            <v>35.055</v>
          </cell>
          <cell r="E50">
            <v>35.055</v>
          </cell>
          <cell r="F50">
            <v>35.055</v>
          </cell>
          <cell r="G50">
            <v>0</v>
          </cell>
          <cell r="H50">
            <v>18.598624999999998</v>
          </cell>
          <cell r="I50">
            <v>43.818750000000001</v>
          </cell>
          <cell r="J50">
            <v>31.16</v>
          </cell>
          <cell r="K50">
            <v>30.186249999999998</v>
          </cell>
          <cell r="L50">
            <v>0</v>
          </cell>
          <cell r="M50">
            <v>0</v>
          </cell>
          <cell r="N50">
            <v>238.17925</v>
          </cell>
        </row>
        <row r="51">
          <cell r="A51" t="str">
            <v>304016 - Annual Leave Provision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304019 - Long Service Leave Provision</v>
          </cell>
          <cell r="B52">
            <v>0</v>
          </cell>
          <cell r="C52">
            <v>23.75</v>
          </cell>
          <cell r="D52">
            <v>90</v>
          </cell>
          <cell r="E52">
            <v>90</v>
          </cell>
          <cell r="F52">
            <v>90</v>
          </cell>
          <cell r="G52">
            <v>0</v>
          </cell>
          <cell r="H52">
            <v>47.75</v>
          </cell>
          <cell r="I52">
            <v>112.5</v>
          </cell>
          <cell r="J52">
            <v>80</v>
          </cell>
          <cell r="K52">
            <v>77.5</v>
          </cell>
          <cell r="L52">
            <v>0</v>
          </cell>
          <cell r="M52">
            <v>0</v>
          </cell>
          <cell r="N52">
            <v>611.5</v>
          </cell>
        </row>
        <row r="53">
          <cell r="A53" t="str">
            <v>Total - EMPLOYEE BENEFITS EXPENSE - EMPLOYEE BENEFITS EXPENSE</v>
          </cell>
          <cell r="B53">
            <v>0</v>
          </cell>
          <cell r="C53">
            <v>1094.9818749999999</v>
          </cell>
          <cell r="D53">
            <v>4149.4049999999997</v>
          </cell>
          <cell r="E53">
            <v>4149.4049999999997</v>
          </cell>
          <cell r="F53">
            <v>4149.4049999999997</v>
          </cell>
          <cell r="G53">
            <v>0</v>
          </cell>
          <cell r="H53">
            <v>2201.4898750000002</v>
          </cell>
          <cell r="I53">
            <v>5186.7562500000004</v>
          </cell>
          <cell r="J53">
            <v>3688.3599999999997</v>
          </cell>
          <cell r="K53">
            <v>3573.0987500000001</v>
          </cell>
          <cell r="L53">
            <v>0</v>
          </cell>
          <cell r="M53">
            <v>0</v>
          </cell>
          <cell r="N53">
            <v>28192.901750000001</v>
          </cell>
          <cell r="O53">
            <v>0.51264481771070103</v>
          </cell>
        </row>
        <row r="54">
          <cell r="A54" t="str">
            <v>Total - Expenses</v>
          </cell>
          <cell r="B54">
            <v>1232.23</v>
          </cell>
          <cell r="C54">
            <v>3292.211875</v>
          </cell>
          <cell r="D54">
            <v>6341.6350000000002</v>
          </cell>
          <cell r="E54">
            <v>6341.6350000000002</v>
          </cell>
          <cell r="F54">
            <v>6341.6350000000002</v>
          </cell>
          <cell r="G54">
            <v>2032.23</v>
          </cell>
          <cell r="H54">
            <v>4448.7198750000007</v>
          </cell>
          <cell r="I54">
            <v>7378.9862499999999</v>
          </cell>
          <cell r="J54">
            <v>5880.59</v>
          </cell>
          <cell r="K54">
            <v>5765.3287500000006</v>
          </cell>
          <cell r="L54">
            <v>1532.23</v>
          </cell>
          <cell r="M54">
            <v>1232.23</v>
          </cell>
          <cell r="N54">
            <v>51819.661749999999</v>
          </cell>
        </row>
        <row r="55">
          <cell r="A55" t="str">
            <v>Operating Profit</v>
          </cell>
          <cell r="B55">
            <v>-1232.23</v>
          </cell>
          <cell r="C55">
            <v>-1929.3118749999999</v>
          </cell>
          <cell r="D55">
            <v>809.46500000000015</v>
          </cell>
          <cell r="E55">
            <v>-916.4350000000004</v>
          </cell>
          <cell r="F55">
            <v>-1081.4350000000004</v>
          </cell>
          <cell r="G55">
            <v>-2032.23</v>
          </cell>
          <cell r="H55">
            <v>-2340.0198750000009</v>
          </cell>
          <cell r="I55">
            <v>-541.38624999999956</v>
          </cell>
          <cell r="J55">
            <v>-1613.6900000000005</v>
          </cell>
          <cell r="K55">
            <v>-1881.2287500000007</v>
          </cell>
          <cell r="L55">
            <v>-1532.23</v>
          </cell>
          <cell r="M55">
            <v>-1232.23</v>
          </cell>
          <cell r="N55">
            <v>-15522.961750000002</v>
          </cell>
        </row>
        <row r="56">
          <cell r="A56" t="str">
            <v>RENTAL - PROPERTY &amp; EQUIPMENT INCOME - RENTAL - PROPERTY &amp; EQUIPMENT INCOME</v>
          </cell>
        </row>
        <row r="57">
          <cell r="A57" t="str">
            <v>103052 - Lease/Rental Income</v>
          </cell>
          <cell r="B57">
            <v>1360</v>
          </cell>
          <cell r="C57">
            <v>1360</v>
          </cell>
          <cell r="D57">
            <v>1360</v>
          </cell>
          <cell r="E57">
            <v>1360</v>
          </cell>
          <cell r="F57">
            <v>1360</v>
          </cell>
          <cell r="G57">
            <v>1360</v>
          </cell>
          <cell r="H57">
            <v>1360</v>
          </cell>
          <cell r="I57">
            <v>1360</v>
          </cell>
          <cell r="J57">
            <v>1360</v>
          </cell>
          <cell r="K57">
            <v>1360</v>
          </cell>
          <cell r="L57">
            <v>1360</v>
          </cell>
          <cell r="M57">
            <v>1360</v>
          </cell>
          <cell r="N57">
            <v>16320</v>
          </cell>
        </row>
        <row r="58">
          <cell r="A58" t="str">
            <v>103070 - Venue Hire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Total - RENTAL - PROPERTY &amp; EQUIPMENT INCOME - RENTAL - PROPERTY &amp; EQUIPMENT INCOME</v>
          </cell>
          <cell r="B59">
            <v>1360</v>
          </cell>
          <cell r="C59">
            <v>1360</v>
          </cell>
          <cell r="D59">
            <v>1360</v>
          </cell>
          <cell r="E59">
            <v>1360</v>
          </cell>
          <cell r="F59">
            <v>1360</v>
          </cell>
          <cell r="G59">
            <v>1360</v>
          </cell>
          <cell r="H59">
            <v>1360</v>
          </cell>
          <cell r="I59">
            <v>1360</v>
          </cell>
          <cell r="J59">
            <v>1360</v>
          </cell>
          <cell r="K59">
            <v>1360</v>
          </cell>
          <cell r="L59">
            <v>1360</v>
          </cell>
          <cell r="M59">
            <v>1360</v>
          </cell>
          <cell r="N59">
            <v>16320</v>
          </cell>
        </row>
        <row r="60">
          <cell r="A60" t="str">
            <v>Total - Other Income</v>
          </cell>
          <cell r="B60">
            <v>1360</v>
          </cell>
          <cell r="C60">
            <v>1360</v>
          </cell>
          <cell r="D60">
            <v>1360</v>
          </cell>
          <cell r="E60">
            <v>1360</v>
          </cell>
          <cell r="F60">
            <v>1360</v>
          </cell>
          <cell r="G60">
            <v>1360</v>
          </cell>
          <cell r="H60">
            <v>1360</v>
          </cell>
          <cell r="I60">
            <v>1360</v>
          </cell>
          <cell r="J60">
            <v>1360</v>
          </cell>
          <cell r="K60">
            <v>1360</v>
          </cell>
          <cell r="L60">
            <v>1360</v>
          </cell>
          <cell r="M60">
            <v>1360</v>
          </cell>
          <cell r="N60">
            <v>16320</v>
          </cell>
        </row>
        <row r="61">
          <cell r="A61" t="str">
            <v>Net Profit/(Loss)</v>
          </cell>
          <cell r="B61">
            <v>127.76999999999998</v>
          </cell>
          <cell r="C61">
            <v>-569.31187499999987</v>
          </cell>
          <cell r="D61">
            <v>2169.4650000000001</v>
          </cell>
          <cell r="E61">
            <v>443.5649999999996</v>
          </cell>
          <cell r="F61">
            <v>278.5649999999996</v>
          </cell>
          <cell r="G61">
            <v>-672.23</v>
          </cell>
          <cell r="H61">
            <v>-980.01987500000087</v>
          </cell>
          <cell r="I61">
            <v>818.61375000000044</v>
          </cell>
          <cell r="J61">
            <v>-253.69000000000051</v>
          </cell>
          <cell r="K61">
            <v>-521.22875000000067</v>
          </cell>
          <cell r="L61">
            <v>-172.23000000000002</v>
          </cell>
          <cell r="M61">
            <v>127.76999999999998</v>
          </cell>
          <cell r="N61">
            <v>797.03824999999779</v>
          </cell>
        </row>
      </sheetData>
      <sheetData sheetId="7">
        <row r="1">
          <cell r="A1" t="str">
            <v>Guild of Undergraduates</v>
          </cell>
        </row>
        <row r="2">
          <cell r="A2" t="str">
            <v>Budget Profit and Loss</v>
          </cell>
        </row>
        <row r="3">
          <cell r="A3" t="str">
            <v>FY 2024</v>
          </cell>
        </row>
        <row r="4">
          <cell r="A4" t="str">
            <v>FUNCTIONS</v>
          </cell>
        </row>
        <row r="5">
          <cell r="A5" t="str">
            <v/>
          </cell>
        </row>
        <row r="6">
          <cell r="A6" t="str">
            <v>Financial Row</v>
          </cell>
          <cell r="B6">
            <v>45292</v>
          </cell>
          <cell r="C6">
            <v>45324</v>
          </cell>
          <cell r="D6">
            <v>45356</v>
          </cell>
          <cell r="E6">
            <v>45388</v>
          </cell>
          <cell r="F6">
            <v>45420</v>
          </cell>
          <cell r="G6">
            <v>45452</v>
          </cell>
          <cell r="H6">
            <v>45484</v>
          </cell>
          <cell r="I6">
            <v>45516</v>
          </cell>
          <cell r="J6">
            <v>45548</v>
          </cell>
          <cell r="K6">
            <v>45580</v>
          </cell>
          <cell r="L6">
            <v>45612</v>
          </cell>
          <cell r="M6">
            <v>45644</v>
          </cell>
          <cell r="N6" t="str">
            <v>Total</v>
          </cell>
        </row>
        <row r="7">
          <cell r="A7" t="str">
            <v> </v>
          </cell>
          <cell r="B7" t="str">
            <v>Amount</v>
          </cell>
          <cell r="C7" t="str">
            <v>Amount</v>
          </cell>
          <cell r="D7" t="str">
            <v>Amount</v>
          </cell>
          <cell r="E7" t="str">
            <v>Amount</v>
          </cell>
          <cell r="F7" t="str">
            <v>Amount</v>
          </cell>
          <cell r="G7" t="str">
            <v>Amount</v>
          </cell>
          <cell r="H7" t="str">
            <v>Amount</v>
          </cell>
          <cell r="I7" t="str">
            <v>Amount</v>
          </cell>
          <cell r="J7" t="str">
            <v>Amount</v>
          </cell>
          <cell r="K7" t="str">
            <v>Amount</v>
          </cell>
          <cell r="L7" t="str">
            <v>Amount</v>
          </cell>
          <cell r="M7" t="str">
            <v>Amount</v>
          </cell>
          <cell r="N7" t="str">
            <v>Amount</v>
          </cell>
        </row>
        <row r="8">
          <cell r="A8" t="str">
            <v>Income</v>
          </cell>
        </row>
        <row r="9">
          <cell r="A9" t="str">
            <v>SALES OF GOODS - SALES OF GOODS</v>
          </cell>
        </row>
        <row r="10">
          <cell r="A10" t="str">
            <v>101001 - Sales - Catering</v>
          </cell>
          <cell r="B10">
            <v>6000</v>
          </cell>
          <cell r="C10">
            <v>35000</v>
          </cell>
          <cell r="D10">
            <v>20000</v>
          </cell>
          <cell r="E10">
            <v>20000</v>
          </cell>
          <cell r="F10">
            <v>32000</v>
          </cell>
          <cell r="G10">
            <v>20000</v>
          </cell>
          <cell r="H10">
            <v>20000</v>
          </cell>
          <cell r="I10">
            <v>20000</v>
          </cell>
          <cell r="J10">
            <v>35000</v>
          </cell>
          <cell r="K10">
            <v>45000</v>
          </cell>
          <cell r="L10">
            <v>20000</v>
          </cell>
          <cell r="M10">
            <v>55000</v>
          </cell>
          <cell r="N10">
            <v>328000</v>
          </cell>
        </row>
        <row r="11">
          <cell r="A11" t="str">
            <v>Total - SALES OF GOODS - SALES OF GOODS</v>
          </cell>
          <cell r="B11">
            <v>6000</v>
          </cell>
          <cell r="C11">
            <v>35000</v>
          </cell>
          <cell r="D11">
            <v>20000</v>
          </cell>
          <cell r="E11">
            <v>20000</v>
          </cell>
          <cell r="F11">
            <v>32000</v>
          </cell>
          <cell r="G11">
            <v>20000</v>
          </cell>
          <cell r="H11">
            <v>20000</v>
          </cell>
          <cell r="I11">
            <v>20000</v>
          </cell>
          <cell r="J11">
            <v>35000</v>
          </cell>
          <cell r="K11">
            <v>45000</v>
          </cell>
          <cell r="L11">
            <v>20000</v>
          </cell>
          <cell r="M11">
            <v>55000</v>
          </cell>
          <cell r="N11">
            <v>328000</v>
          </cell>
        </row>
        <row r="12">
          <cell r="A12" t="str">
            <v>Total - Income</v>
          </cell>
          <cell r="B12">
            <v>6000</v>
          </cell>
          <cell r="C12">
            <v>35000</v>
          </cell>
          <cell r="D12">
            <v>20000</v>
          </cell>
          <cell r="E12">
            <v>20000</v>
          </cell>
          <cell r="F12">
            <v>32000</v>
          </cell>
          <cell r="G12">
            <v>20000</v>
          </cell>
          <cell r="H12">
            <v>20000</v>
          </cell>
          <cell r="I12">
            <v>20000</v>
          </cell>
          <cell r="J12">
            <v>35000</v>
          </cell>
          <cell r="K12">
            <v>45000</v>
          </cell>
          <cell r="L12">
            <v>20000</v>
          </cell>
          <cell r="M12">
            <v>55000</v>
          </cell>
          <cell r="N12">
            <v>328000</v>
          </cell>
        </row>
        <row r="13">
          <cell r="A13" t="str">
            <v>Cost Of Sales</v>
          </cell>
        </row>
        <row r="14">
          <cell r="A14" t="str">
            <v>201070 - Cost of Goods Sold</v>
          </cell>
          <cell r="B14">
            <v>2100</v>
          </cell>
          <cell r="C14">
            <v>12250</v>
          </cell>
          <cell r="D14">
            <v>7000</v>
          </cell>
          <cell r="E14">
            <v>7000</v>
          </cell>
          <cell r="F14">
            <v>11200</v>
          </cell>
          <cell r="G14">
            <v>7000</v>
          </cell>
          <cell r="H14">
            <v>7000</v>
          </cell>
          <cell r="I14">
            <v>7000</v>
          </cell>
          <cell r="J14">
            <v>12250</v>
          </cell>
          <cell r="K14">
            <v>15749.999999999998</v>
          </cell>
          <cell r="L14">
            <v>7000</v>
          </cell>
          <cell r="M14">
            <v>19250</v>
          </cell>
          <cell r="N14">
            <v>114800</v>
          </cell>
        </row>
        <row r="15">
          <cell r="A15" t="str">
            <v>Total - Cost Of Sales</v>
          </cell>
          <cell r="B15">
            <v>2100</v>
          </cell>
          <cell r="C15">
            <v>12250</v>
          </cell>
          <cell r="D15">
            <v>7000</v>
          </cell>
          <cell r="E15">
            <v>7000</v>
          </cell>
          <cell r="F15">
            <v>11200</v>
          </cell>
          <cell r="G15">
            <v>7000</v>
          </cell>
          <cell r="H15">
            <v>7000</v>
          </cell>
          <cell r="I15">
            <v>7000</v>
          </cell>
          <cell r="J15">
            <v>12250</v>
          </cell>
          <cell r="K15">
            <v>15749.999999999998</v>
          </cell>
          <cell r="L15">
            <v>7000</v>
          </cell>
          <cell r="M15">
            <v>19250</v>
          </cell>
          <cell r="N15">
            <v>114800</v>
          </cell>
        </row>
        <row r="16">
          <cell r="A16" t="str">
            <v>Gross Profit</v>
          </cell>
          <cell r="B16">
            <v>3900</v>
          </cell>
          <cell r="C16">
            <v>22750</v>
          </cell>
          <cell r="D16">
            <v>13000</v>
          </cell>
          <cell r="E16">
            <v>13000</v>
          </cell>
          <cell r="F16">
            <v>20800</v>
          </cell>
          <cell r="G16">
            <v>13000</v>
          </cell>
          <cell r="H16">
            <v>13000</v>
          </cell>
          <cell r="I16">
            <v>13000</v>
          </cell>
          <cell r="J16">
            <v>22750</v>
          </cell>
          <cell r="K16">
            <v>29250</v>
          </cell>
          <cell r="L16">
            <v>13000</v>
          </cell>
          <cell r="M16">
            <v>35750</v>
          </cell>
          <cell r="N16">
            <v>213200</v>
          </cell>
        </row>
        <row r="17">
          <cell r="A17" t="str">
            <v>Expenses</v>
          </cell>
        </row>
        <row r="18">
          <cell r="A18" t="str">
            <v>ADMINISTRATIVE EXPENSES - ADMINISTRATIVE EXPENSES</v>
          </cell>
        </row>
        <row r="19">
          <cell r="A19" t="str">
            <v>305052 - Awards &amp; Prizes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305083 - Advertising &amp; Promotion</v>
          </cell>
          <cell r="B20">
            <v>415</v>
          </cell>
          <cell r="C20">
            <v>415</v>
          </cell>
          <cell r="D20">
            <v>415</v>
          </cell>
          <cell r="E20">
            <v>415</v>
          </cell>
          <cell r="F20">
            <v>415</v>
          </cell>
          <cell r="G20">
            <v>415</v>
          </cell>
          <cell r="H20">
            <v>415</v>
          </cell>
          <cell r="I20">
            <v>415</v>
          </cell>
          <cell r="J20">
            <v>415</v>
          </cell>
          <cell r="K20">
            <v>415</v>
          </cell>
          <cell r="L20">
            <v>415</v>
          </cell>
          <cell r="M20">
            <v>415</v>
          </cell>
          <cell r="N20">
            <v>4980</v>
          </cell>
        </row>
        <row r="21">
          <cell r="A21" t="str">
            <v>305108 - Cleaning Contract</v>
          </cell>
          <cell r="B21">
            <v>165</v>
          </cell>
          <cell r="C21">
            <v>165</v>
          </cell>
          <cell r="D21">
            <v>165</v>
          </cell>
          <cell r="E21">
            <v>165</v>
          </cell>
          <cell r="F21">
            <v>165</v>
          </cell>
          <cell r="G21">
            <v>165</v>
          </cell>
          <cell r="H21">
            <v>165</v>
          </cell>
          <cell r="I21">
            <v>165</v>
          </cell>
          <cell r="J21">
            <v>165</v>
          </cell>
          <cell r="K21">
            <v>165</v>
          </cell>
          <cell r="L21">
            <v>165</v>
          </cell>
          <cell r="M21">
            <v>165</v>
          </cell>
          <cell r="N21">
            <v>1980</v>
          </cell>
        </row>
        <row r="22">
          <cell r="A22" t="str">
            <v>305109 - Cleaning Consumables</v>
          </cell>
          <cell r="B22">
            <v>45</v>
          </cell>
          <cell r="C22">
            <v>45</v>
          </cell>
          <cell r="D22">
            <v>45</v>
          </cell>
          <cell r="E22">
            <v>45</v>
          </cell>
          <cell r="F22">
            <v>45</v>
          </cell>
          <cell r="G22">
            <v>45</v>
          </cell>
          <cell r="H22">
            <v>45</v>
          </cell>
          <cell r="I22">
            <v>45</v>
          </cell>
          <cell r="J22">
            <v>45</v>
          </cell>
          <cell r="K22">
            <v>45</v>
          </cell>
          <cell r="L22">
            <v>45</v>
          </cell>
          <cell r="M22">
            <v>45</v>
          </cell>
          <cell r="N22">
            <v>540</v>
          </cell>
        </row>
        <row r="23">
          <cell r="A23" t="str">
            <v>305111 - Communication Expenses</v>
          </cell>
          <cell r="B23">
            <v>45</v>
          </cell>
          <cell r="C23">
            <v>45</v>
          </cell>
          <cell r="D23">
            <v>45</v>
          </cell>
          <cell r="E23">
            <v>45</v>
          </cell>
          <cell r="F23">
            <v>45</v>
          </cell>
          <cell r="G23">
            <v>45</v>
          </cell>
          <cell r="H23">
            <v>45</v>
          </cell>
          <cell r="I23">
            <v>45</v>
          </cell>
          <cell r="J23">
            <v>45</v>
          </cell>
          <cell r="K23">
            <v>45</v>
          </cell>
          <cell r="L23">
            <v>45</v>
          </cell>
          <cell r="M23">
            <v>45</v>
          </cell>
          <cell r="N23">
            <v>540</v>
          </cell>
        </row>
        <row r="24">
          <cell r="A24" t="str">
            <v>305112 - Paper Products &amp; Packaging</v>
          </cell>
          <cell r="B24">
            <v>0</v>
          </cell>
          <cell r="C24">
            <v>0</v>
          </cell>
          <cell r="D24">
            <v>150</v>
          </cell>
          <cell r="E24">
            <v>0</v>
          </cell>
          <cell r="F24">
            <v>0</v>
          </cell>
          <cell r="G24">
            <v>0</v>
          </cell>
          <cell r="H24">
            <v>150</v>
          </cell>
          <cell r="I24">
            <v>0</v>
          </cell>
          <cell r="J24">
            <v>0</v>
          </cell>
          <cell r="K24">
            <v>0</v>
          </cell>
          <cell r="L24">
            <v>150</v>
          </cell>
          <cell r="M24">
            <v>0</v>
          </cell>
          <cell r="N24">
            <v>450</v>
          </cell>
        </row>
        <row r="25">
          <cell r="A25" t="str">
            <v>305141 - Equipment Rental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305156 - Laundry</v>
          </cell>
          <cell r="B26">
            <v>30</v>
          </cell>
          <cell r="C26">
            <v>30</v>
          </cell>
          <cell r="D26">
            <v>30</v>
          </cell>
          <cell r="E26">
            <v>30</v>
          </cell>
          <cell r="F26">
            <v>30</v>
          </cell>
          <cell r="G26">
            <v>30</v>
          </cell>
          <cell r="H26">
            <v>30</v>
          </cell>
          <cell r="I26">
            <v>30</v>
          </cell>
          <cell r="J26">
            <v>30</v>
          </cell>
          <cell r="K26">
            <v>30</v>
          </cell>
          <cell r="L26">
            <v>30</v>
          </cell>
          <cell r="M26">
            <v>30</v>
          </cell>
          <cell r="N26">
            <v>360</v>
          </cell>
        </row>
        <row r="27">
          <cell r="A27" t="str">
            <v>305162 - Licence &amp; Permits</v>
          </cell>
          <cell r="B27">
            <v>1000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650</v>
          </cell>
          <cell r="H27">
            <v>0</v>
          </cell>
          <cell r="I27">
            <v>710</v>
          </cell>
          <cell r="J27">
            <v>0</v>
          </cell>
          <cell r="K27">
            <v>0</v>
          </cell>
          <cell r="L27">
            <v>600</v>
          </cell>
          <cell r="M27">
            <v>0</v>
          </cell>
          <cell r="N27">
            <v>2960</v>
          </cell>
        </row>
        <row r="28">
          <cell r="A28" t="str">
            <v>305165 - Motor Vehicle Expenses</v>
          </cell>
          <cell r="B28">
            <v>200</v>
          </cell>
          <cell r="C28">
            <v>300</v>
          </cell>
          <cell r="D28">
            <v>1000</v>
          </cell>
          <cell r="E28">
            <v>250</v>
          </cell>
          <cell r="F28">
            <v>100</v>
          </cell>
          <cell r="G28">
            <v>650</v>
          </cell>
          <cell r="H28">
            <v>100</v>
          </cell>
          <cell r="I28">
            <v>100</v>
          </cell>
          <cell r="J28">
            <v>150</v>
          </cell>
          <cell r="K28">
            <v>220</v>
          </cell>
          <cell r="L28">
            <v>100</v>
          </cell>
          <cell r="M28">
            <v>200</v>
          </cell>
          <cell r="N28">
            <v>3370</v>
          </cell>
        </row>
        <row r="29">
          <cell r="A29" t="str">
            <v>305180 - Printing &amp; Stationery</v>
          </cell>
          <cell r="B29">
            <v>5</v>
          </cell>
          <cell r="C29">
            <v>5</v>
          </cell>
          <cell r="D29">
            <v>5</v>
          </cell>
          <cell r="E29">
            <v>5</v>
          </cell>
          <cell r="F29">
            <v>5</v>
          </cell>
          <cell r="G29">
            <v>5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60</v>
          </cell>
        </row>
        <row r="30">
          <cell r="A30" t="str">
            <v>305185 - Minor Assets</v>
          </cell>
          <cell r="B30">
            <v>10</v>
          </cell>
          <cell r="C30">
            <v>10</v>
          </cell>
          <cell r="D30">
            <v>10</v>
          </cell>
          <cell r="E30">
            <v>10</v>
          </cell>
          <cell r="F30">
            <v>10</v>
          </cell>
          <cell r="G30">
            <v>10</v>
          </cell>
          <cell r="H30">
            <v>10</v>
          </cell>
          <cell r="I30">
            <v>10</v>
          </cell>
          <cell r="J30">
            <v>10</v>
          </cell>
          <cell r="K30">
            <v>10</v>
          </cell>
          <cell r="L30">
            <v>10</v>
          </cell>
          <cell r="M30">
            <v>10</v>
          </cell>
          <cell r="N30">
            <v>120</v>
          </cell>
        </row>
        <row r="31">
          <cell r="A31" t="str">
            <v>305187 - Software Digital</v>
          </cell>
          <cell r="B31">
            <v>151</v>
          </cell>
          <cell r="C31">
            <v>151</v>
          </cell>
          <cell r="D31">
            <v>151</v>
          </cell>
          <cell r="E31">
            <v>151</v>
          </cell>
          <cell r="F31">
            <v>151</v>
          </cell>
          <cell r="G31">
            <v>151</v>
          </cell>
          <cell r="H31">
            <v>151</v>
          </cell>
          <cell r="I31">
            <v>151</v>
          </cell>
          <cell r="J31">
            <v>151</v>
          </cell>
          <cell r="K31">
            <v>151</v>
          </cell>
          <cell r="L31">
            <v>151</v>
          </cell>
          <cell r="M31">
            <v>151</v>
          </cell>
          <cell r="N31">
            <v>1812</v>
          </cell>
        </row>
        <row r="32">
          <cell r="A32" t="str">
            <v>305189 - Repairs &amp; Maintenance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305197 - Replacement of Glass/Cutlery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305210 - Staff Amenities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305225 - Uniforms</v>
          </cell>
          <cell r="B35">
            <v>500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1000</v>
          </cell>
        </row>
        <row r="36">
          <cell r="A36" t="str">
            <v>305228 - Waste Control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306006 - Depreciation - Computer Equipment</v>
          </cell>
          <cell r="B37">
            <v>74.72</v>
          </cell>
          <cell r="C37">
            <v>74.72</v>
          </cell>
          <cell r="D37">
            <v>74.72</v>
          </cell>
          <cell r="E37">
            <v>74.72</v>
          </cell>
          <cell r="F37">
            <v>74.72</v>
          </cell>
          <cell r="G37">
            <v>74.72</v>
          </cell>
          <cell r="H37">
            <v>74.72</v>
          </cell>
          <cell r="I37">
            <v>74.72</v>
          </cell>
          <cell r="J37">
            <v>74.72</v>
          </cell>
          <cell r="K37">
            <v>74.72</v>
          </cell>
          <cell r="L37">
            <v>74.72</v>
          </cell>
          <cell r="M37">
            <v>74.72</v>
          </cell>
          <cell r="N37">
            <v>896.64000000000021</v>
          </cell>
        </row>
        <row r="38">
          <cell r="A38" t="str">
            <v>Total - ADMINISTRATIVE EXPENSES - ADMINISTRATIVE EXPENSES</v>
          </cell>
          <cell r="B38">
            <v>2640.72</v>
          </cell>
          <cell r="C38">
            <v>1240.72</v>
          </cell>
          <cell r="D38">
            <v>2090.7199999999998</v>
          </cell>
          <cell r="E38">
            <v>1190.72</v>
          </cell>
          <cell r="F38">
            <v>1040.72</v>
          </cell>
          <cell r="G38">
            <v>2240.7199999999998</v>
          </cell>
          <cell r="H38">
            <v>1690.72</v>
          </cell>
          <cell r="I38">
            <v>1750.72</v>
          </cell>
          <cell r="J38">
            <v>1090.72</v>
          </cell>
          <cell r="K38">
            <v>1160.72</v>
          </cell>
          <cell r="L38">
            <v>1790.72</v>
          </cell>
          <cell r="M38">
            <v>1140.72</v>
          </cell>
          <cell r="N38">
            <v>19068.64</v>
          </cell>
        </row>
        <row r="39">
          <cell r="A39" t="str">
            <v>EMPLOYEE BENEFITS EXPENSE - EMPLOYEE BENEFITS EXPENSE</v>
          </cell>
        </row>
        <row r="40">
          <cell r="A40" t="str">
            <v>304001 - Salaries &amp; Wages - Permanent Staff</v>
          </cell>
          <cell r="B40">
            <v>7550.9848054474714</v>
          </cell>
          <cell r="C40">
            <v>7948.405058365759</v>
          </cell>
          <cell r="D40">
            <v>8345.8253112840466</v>
          </cell>
          <cell r="E40">
            <v>8743.245564202336</v>
          </cell>
          <cell r="F40">
            <v>9140.6658171206236</v>
          </cell>
          <cell r="G40">
            <v>7948.405058365759</v>
          </cell>
          <cell r="H40">
            <v>9140.6658171206236</v>
          </cell>
          <cell r="I40">
            <v>8743.245564202336</v>
          </cell>
          <cell r="J40">
            <v>8345.8253112840466</v>
          </cell>
          <cell r="K40">
            <v>9140.6658171206236</v>
          </cell>
          <cell r="L40">
            <v>8345.8253112840466</v>
          </cell>
          <cell r="M40">
            <v>8743.245564202336</v>
          </cell>
          <cell r="N40">
            <v>102137.005</v>
          </cell>
        </row>
        <row r="41">
          <cell r="A41" t="str">
            <v>304004 - Salaries &amp; Wages - Other</v>
          </cell>
          <cell r="B41">
            <v>0</v>
          </cell>
          <cell r="C41">
            <v>1200</v>
          </cell>
          <cell r="D41">
            <v>1000</v>
          </cell>
          <cell r="E41">
            <v>1000</v>
          </cell>
          <cell r="F41">
            <v>1000</v>
          </cell>
          <cell r="G41">
            <v>500</v>
          </cell>
          <cell r="H41">
            <v>1200</v>
          </cell>
          <cell r="I41">
            <v>1500</v>
          </cell>
          <cell r="J41">
            <v>1000</v>
          </cell>
          <cell r="K41">
            <v>1900</v>
          </cell>
          <cell r="L41">
            <v>1000</v>
          </cell>
          <cell r="M41">
            <v>1200</v>
          </cell>
          <cell r="N41">
            <v>12500</v>
          </cell>
        </row>
        <row r="42">
          <cell r="A42" t="str">
            <v>304010 - Superannuation</v>
          </cell>
          <cell r="B42">
            <v>1220.1012304781052</v>
          </cell>
          <cell r="C42">
            <v>1425.7670847137949</v>
          </cell>
          <cell r="D42">
            <v>1466.4079389494846</v>
          </cell>
          <cell r="E42">
            <v>1530.6237931851742</v>
          </cell>
          <cell r="F42">
            <v>1594.8396474208641</v>
          </cell>
          <cell r="G42">
            <v>1343.2545847137949</v>
          </cell>
          <cell r="H42">
            <v>1618.4146474208642</v>
          </cell>
          <cell r="I42">
            <v>1589.5612931851742</v>
          </cell>
          <cell r="J42">
            <v>1466.4079389494846</v>
          </cell>
          <cell r="K42">
            <v>1700.9271474208642</v>
          </cell>
          <cell r="L42">
            <v>1466.4079389494846</v>
          </cell>
          <cell r="M42">
            <v>1554.1987931851743</v>
          </cell>
          <cell r="N42">
            <v>17976.912038572264</v>
          </cell>
        </row>
        <row r="43">
          <cell r="A43" t="str">
            <v>304013 - Workers Compensation Insurance</v>
          </cell>
          <cell r="B43">
            <v>80.011221629073546</v>
          </cell>
          <cell r="C43">
            <v>95.907338556919512</v>
          </cell>
          <cell r="D43">
            <v>98.170955484765486</v>
          </cell>
          <cell r="E43">
            <v>102.38207241261146</v>
          </cell>
          <cell r="F43">
            <v>106.59318934045744</v>
          </cell>
          <cell r="G43">
            <v>89.091088556919516</v>
          </cell>
          <cell r="H43">
            <v>108.54068934045745</v>
          </cell>
          <cell r="I43">
            <v>107.25082241261147</v>
          </cell>
          <cell r="J43">
            <v>98.170955484765486</v>
          </cell>
          <cell r="K43">
            <v>115.35693934045744</v>
          </cell>
          <cell r="L43">
            <v>98.170955484765486</v>
          </cell>
          <cell r="M43">
            <v>104.32957241261147</v>
          </cell>
          <cell r="N43">
            <v>1203.9758004564158</v>
          </cell>
        </row>
        <row r="44">
          <cell r="A44" t="str">
            <v>304016 - Annual Leave Provision</v>
          </cell>
          <cell r="B44">
            <v>682.47443010829431</v>
          </cell>
          <cell r="C44">
            <v>718.39413695609926</v>
          </cell>
          <cell r="D44">
            <v>754.31384380390432</v>
          </cell>
          <cell r="E44">
            <v>790.23355065170927</v>
          </cell>
          <cell r="F44">
            <v>826.15325749951421</v>
          </cell>
          <cell r="G44">
            <v>718.39413695609926</v>
          </cell>
          <cell r="H44">
            <v>826.15325749951421</v>
          </cell>
          <cell r="I44">
            <v>790.23355065170927</v>
          </cell>
          <cell r="J44">
            <v>754.31384380390432</v>
          </cell>
          <cell r="K44">
            <v>826.15325749951421</v>
          </cell>
          <cell r="L44">
            <v>754.31384380390432</v>
          </cell>
          <cell r="M44">
            <v>790.23355065170927</v>
          </cell>
          <cell r="N44">
            <v>9231.3646598858759</v>
          </cell>
        </row>
        <row r="45">
          <cell r="A45" t="str">
            <v>304019 - Long Service Leave Provision</v>
          </cell>
          <cell r="B45">
            <v>233.33602013618673</v>
          </cell>
          <cell r="C45">
            <v>228.71012645914396</v>
          </cell>
          <cell r="D45">
            <v>233.64563278210116</v>
          </cell>
          <cell r="E45">
            <v>243.58113910505836</v>
          </cell>
          <cell r="F45">
            <v>253.51664542801555</v>
          </cell>
          <cell r="G45">
            <v>211.21012645914396</v>
          </cell>
          <cell r="H45">
            <v>258.51664542801552</v>
          </cell>
          <cell r="I45">
            <v>256.08113910505836</v>
          </cell>
          <cell r="J45">
            <v>233.64563278210116</v>
          </cell>
          <cell r="K45">
            <v>276.01664542801552</v>
          </cell>
          <cell r="L45">
            <v>233.64563278210116</v>
          </cell>
          <cell r="M45">
            <v>248.58113910505836</v>
          </cell>
          <cell r="N45">
            <v>2910.4865249999998</v>
          </cell>
        </row>
        <row r="46">
          <cell r="A46" t="str">
            <v>Total - EMPLOYEE BENEFITS EXPENSE - EMPLOYEE BENEFITS EXPENSE</v>
          </cell>
          <cell r="B46">
            <v>9766.9077077991296</v>
          </cell>
          <cell r="C46">
            <v>11617.183745051716</v>
          </cell>
          <cell r="D46">
            <v>11898.363682304302</v>
          </cell>
          <cell r="E46">
            <v>12410.06611955689</v>
          </cell>
          <cell r="F46">
            <v>12921.768556809475</v>
          </cell>
          <cell r="G46">
            <v>10810.354995051717</v>
          </cell>
          <cell r="H46">
            <v>13152.291056809476</v>
          </cell>
          <cell r="I46">
            <v>12986.372369556891</v>
          </cell>
          <cell r="J46">
            <v>11898.363682304302</v>
          </cell>
          <cell r="K46">
            <v>13959.119806809475</v>
          </cell>
          <cell r="L46">
            <v>11898.363682304302</v>
          </cell>
          <cell r="M46">
            <v>12640.588619556889</v>
          </cell>
          <cell r="N46">
            <v>145959.74402391454</v>
          </cell>
          <cell r="O46">
            <v>0.4449992195851053</v>
          </cell>
        </row>
        <row r="47">
          <cell r="A47" t="str">
            <v>Total - Expenses</v>
          </cell>
          <cell r="B47">
            <v>12407.627707799129</v>
          </cell>
          <cell r="C47">
            <v>12857.903745051715</v>
          </cell>
          <cell r="D47">
            <v>13989.083682304301</v>
          </cell>
          <cell r="E47">
            <v>13600.786119556889</v>
          </cell>
          <cell r="F47">
            <v>13962.488556809474</v>
          </cell>
          <cell r="G47">
            <v>13051.074995051717</v>
          </cell>
          <cell r="H47">
            <v>14843.011056809475</v>
          </cell>
          <cell r="I47">
            <v>14737.092369556891</v>
          </cell>
          <cell r="J47">
            <v>12989.083682304301</v>
          </cell>
          <cell r="K47">
            <v>15119.839806809474</v>
          </cell>
          <cell r="L47">
            <v>13689.083682304301</v>
          </cell>
          <cell r="M47">
            <v>13781.308619556889</v>
          </cell>
          <cell r="N47">
            <v>165028.38402391452</v>
          </cell>
        </row>
        <row r="48">
          <cell r="A48" t="str">
            <v>Operating Profit</v>
          </cell>
          <cell r="B48">
            <v>-8507.627707799129</v>
          </cell>
          <cell r="C48">
            <v>9892.0962549482847</v>
          </cell>
          <cell r="D48">
            <v>-989.08368230430096</v>
          </cell>
          <cell r="E48">
            <v>-600.78611955688939</v>
          </cell>
          <cell r="F48">
            <v>6837.5114431905258</v>
          </cell>
          <cell r="G48">
            <v>-51.074995051716542</v>
          </cell>
          <cell r="H48">
            <v>-1843.0110568094751</v>
          </cell>
          <cell r="I48">
            <v>-1737.0923695568908</v>
          </cell>
          <cell r="J48">
            <v>9760.916317695699</v>
          </cell>
          <cell r="K48">
            <v>14130.160193190526</v>
          </cell>
          <cell r="L48">
            <v>-689.08368230430096</v>
          </cell>
          <cell r="M48">
            <v>21968.69138044311</v>
          </cell>
          <cell r="N48">
            <v>48171.615976085479</v>
          </cell>
        </row>
        <row r="49">
          <cell r="A49" t="str">
            <v>Other Income</v>
          </cell>
          <cell r="B49">
            <v>1.627817951299855</v>
          </cell>
          <cell r="C49">
            <v>0.33191953557290615</v>
          </cell>
          <cell r="D49">
            <v>0.59491818411521513</v>
          </cell>
          <cell r="E49">
            <v>0.62050330597784453</v>
          </cell>
          <cell r="F49">
            <v>0.4038052674002961</v>
          </cell>
          <cell r="G49">
            <v>0.54051774975258582</v>
          </cell>
          <cell r="H49">
            <v>0.65761455284047377</v>
          </cell>
          <cell r="I49">
            <v>0.64931861847784456</v>
          </cell>
          <cell r="J49">
            <v>0.33995324806583721</v>
          </cell>
          <cell r="K49">
            <v>0.31020266237354388</v>
          </cell>
          <cell r="L49">
            <v>0.59491818411521513</v>
          </cell>
          <cell r="M49">
            <v>0.22982888399194343</v>
          </cell>
          <cell r="N49">
            <v>0.4449992195851053</v>
          </cell>
        </row>
        <row r="50">
          <cell r="A50" t="str">
            <v>GAIN/LOSS OF DISPOSAL OF ASSETS - GAIN/LOSS OF DISPOSAL OF ASSETS</v>
          </cell>
        </row>
        <row r="51">
          <cell r="A51" t="str">
            <v>104000 - Profit/(loss) of Sale of Fixed Assets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Total - GAIN/LOSS OF DISPOSAL OF ASSETS - GAIN/LOSS OF DISPOSAL OF ASSETS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OTHER INCOME - OTHER INCOME</v>
          </cell>
        </row>
        <row r="54">
          <cell r="A54" t="str">
            <v>103030 - Service Fees</v>
          </cell>
          <cell r="B54">
            <v>150</v>
          </cell>
          <cell r="C54">
            <v>350</v>
          </cell>
          <cell r="D54">
            <v>350</v>
          </cell>
          <cell r="E54">
            <v>350</v>
          </cell>
          <cell r="F54">
            <v>350</v>
          </cell>
          <cell r="G54">
            <v>350</v>
          </cell>
          <cell r="H54">
            <v>350</v>
          </cell>
          <cell r="I54">
            <v>350</v>
          </cell>
          <cell r="J54">
            <v>350</v>
          </cell>
          <cell r="K54">
            <v>350</v>
          </cell>
          <cell r="L54">
            <v>350</v>
          </cell>
          <cell r="M54">
            <v>150</v>
          </cell>
          <cell r="N54">
            <v>3800</v>
          </cell>
        </row>
        <row r="55">
          <cell r="A55" t="str">
            <v>103069 - Sundry Income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Total - OTHER INCOME - OTHER INCOME</v>
          </cell>
          <cell r="B56">
            <v>150</v>
          </cell>
          <cell r="C56">
            <v>350</v>
          </cell>
          <cell r="D56">
            <v>350</v>
          </cell>
          <cell r="E56">
            <v>350</v>
          </cell>
          <cell r="F56">
            <v>350</v>
          </cell>
          <cell r="G56">
            <v>350</v>
          </cell>
          <cell r="H56">
            <v>350</v>
          </cell>
          <cell r="I56">
            <v>350</v>
          </cell>
          <cell r="J56">
            <v>350</v>
          </cell>
          <cell r="K56">
            <v>350</v>
          </cell>
          <cell r="L56">
            <v>350</v>
          </cell>
          <cell r="M56">
            <v>150</v>
          </cell>
          <cell r="N56">
            <v>3800</v>
          </cell>
        </row>
        <row r="57">
          <cell r="A57" t="str">
            <v>RENTAL - PROPERTY &amp; EQUIPMENT INCOME - RENTAL - PROPERTY &amp; EQUIPMENT INCOME</v>
          </cell>
        </row>
        <row r="58">
          <cell r="A58" t="str">
            <v>103043 - Hire Income - Crockery &amp; Glassware</v>
          </cell>
          <cell r="B58">
            <v>200</v>
          </cell>
          <cell r="C58">
            <v>200</v>
          </cell>
          <cell r="D58">
            <v>350</v>
          </cell>
          <cell r="E58">
            <v>180</v>
          </cell>
          <cell r="F58">
            <v>180</v>
          </cell>
          <cell r="G58">
            <v>150</v>
          </cell>
          <cell r="H58">
            <v>150</v>
          </cell>
          <cell r="I58">
            <v>380</v>
          </cell>
          <cell r="J58">
            <v>350</v>
          </cell>
          <cell r="K58">
            <v>400</v>
          </cell>
          <cell r="L58">
            <v>180</v>
          </cell>
          <cell r="M58">
            <v>200</v>
          </cell>
          <cell r="N58">
            <v>2920</v>
          </cell>
        </row>
        <row r="59">
          <cell r="A59" t="str">
            <v>103070 - Venue Hire</v>
          </cell>
          <cell r="B59">
            <v>100</v>
          </cell>
          <cell r="C59">
            <v>350</v>
          </cell>
          <cell r="D59">
            <v>350</v>
          </cell>
          <cell r="E59">
            <v>350</v>
          </cell>
          <cell r="F59">
            <v>1500</v>
          </cell>
          <cell r="G59">
            <v>150</v>
          </cell>
          <cell r="H59">
            <v>350</v>
          </cell>
          <cell r="I59">
            <v>250</v>
          </cell>
          <cell r="J59">
            <v>300</v>
          </cell>
          <cell r="K59">
            <v>300</v>
          </cell>
          <cell r="L59">
            <v>300</v>
          </cell>
          <cell r="M59">
            <v>300</v>
          </cell>
          <cell r="N59">
            <v>4600</v>
          </cell>
        </row>
        <row r="60">
          <cell r="A60" t="str">
            <v>Total - RENTAL - PROPERTY &amp; EQUIPMENT INCOME - RENTAL - PROPERTY &amp; EQUIPMENT INCOME</v>
          </cell>
          <cell r="B60">
            <v>300</v>
          </cell>
          <cell r="C60">
            <v>550</v>
          </cell>
          <cell r="D60">
            <v>700</v>
          </cell>
          <cell r="E60">
            <v>530</v>
          </cell>
          <cell r="F60">
            <v>1680</v>
          </cell>
          <cell r="G60">
            <v>300</v>
          </cell>
          <cell r="H60">
            <v>500</v>
          </cell>
          <cell r="I60">
            <v>630</v>
          </cell>
          <cell r="J60">
            <v>650</v>
          </cell>
          <cell r="K60">
            <v>700</v>
          </cell>
          <cell r="L60">
            <v>480</v>
          </cell>
          <cell r="M60">
            <v>500</v>
          </cell>
          <cell r="N60">
            <v>7520</v>
          </cell>
        </row>
        <row r="61">
          <cell r="A61" t="str">
            <v>Total - Other Income</v>
          </cell>
          <cell r="B61">
            <v>450</v>
          </cell>
          <cell r="C61">
            <v>900</v>
          </cell>
          <cell r="D61">
            <v>1050</v>
          </cell>
          <cell r="E61">
            <v>880</v>
          </cell>
          <cell r="F61">
            <v>2030</v>
          </cell>
          <cell r="G61">
            <v>650</v>
          </cell>
          <cell r="H61">
            <v>850</v>
          </cell>
          <cell r="I61">
            <v>980</v>
          </cell>
          <cell r="J61">
            <v>1000</v>
          </cell>
          <cell r="K61">
            <v>1050</v>
          </cell>
          <cell r="L61">
            <v>830</v>
          </cell>
          <cell r="M61">
            <v>650</v>
          </cell>
          <cell r="N61">
            <v>11320</v>
          </cell>
        </row>
        <row r="62">
          <cell r="A62" t="str">
            <v>Net Profit/(Loss)</v>
          </cell>
          <cell r="B62">
            <v>-8057.627707799129</v>
          </cell>
          <cell r="C62">
            <v>10792.096254948285</v>
          </cell>
          <cell r="D62">
            <v>60.916317695699036</v>
          </cell>
          <cell r="E62">
            <v>279.21388044311061</v>
          </cell>
          <cell r="F62">
            <v>8867.5114431905258</v>
          </cell>
          <cell r="G62">
            <v>598.92500494828346</v>
          </cell>
          <cell r="H62">
            <v>-993.01105680947512</v>
          </cell>
          <cell r="I62">
            <v>-757.09236955689084</v>
          </cell>
          <cell r="J62">
            <v>10760.916317695699</v>
          </cell>
          <cell r="K62">
            <v>15180.160193190526</v>
          </cell>
          <cell r="L62">
            <v>140.91631769569904</v>
          </cell>
          <cell r="M62">
            <v>22618.69138044311</v>
          </cell>
          <cell r="N62">
            <v>59491.615976085479</v>
          </cell>
        </row>
        <row r="63">
          <cell r="A63" t="str">
            <v>Net Profit/(Loss)</v>
          </cell>
          <cell r="B63">
            <v>-8055.9998898478289</v>
          </cell>
          <cell r="C63">
            <v>10792.428174483857</v>
          </cell>
          <cell r="D63">
            <v>61.511235879814251</v>
          </cell>
          <cell r="E63">
            <v>279.83438374908843</v>
          </cell>
          <cell r="F63">
            <v>8867.9152484579263</v>
          </cell>
          <cell r="G63">
            <v>599.46552269803601</v>
          </cell>
          <cell r="H63">
            <v>-992.35344225663459</v>
          </cell>
          <cell r="I63">
            <v>-756.44305093841297</v>
          </cell>
          <cell r="J63">
            <v>10761.256270943764</v>
          </cell>
          <cell r="K63">
            <v>15180.470395852899</v>
          </cell>
          <cell r="L63">
            <v>141.51123587981425</v>
          </cell>
          <cell r="M63">
            <v>22618.921209327102</v>
          </cell>
          <cell r="N63">
            <v>59492.060975305067</v>
          </cell>
        </row>
      </sheetData>
      <sheetData sheetId="8">
        <row r="1">
          <cell r="A1" t="str">
            <v>Guild of Undergraduates</v>
          </cell>
        </row>
        <row r="2">
          <cell r="A2" t="str">
            <v>Budget 2024</v>
          </cell>
        </row>
        <row r="3">
          <cell r="A3" t="str">
            <v>Hackett Café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>Financial Row</v>
          </cell>
        </row>
        <row r="7">
          <cell r="A7" t="str">
            <v> </v>
          </cell>
          <cell r="B7" t="str">
            <v>Budget Amount</v>
          </cell>
          <cell r="C7" t="str">
            <v>Budget Amount</v>
          </cell>
          <cell r="D7" t="str">
            <v>Budget Amount</v>
          </cell>
          <cell r="E7" t="str">
            <v>Budget Amount</v>
          </cell>
          <cell r="F7" t="str">
            <v>Budget Amount</v>
          </cell>
          <cell r="G7" t="str">
            <v>Budget Amount</v>
          </cell>
          <cell r="H7" t="str">
            <v>Budget Amount</v>
          </cell>
          <cell r="I7" t="str">
            <v>Budget Amount</v>
          </cell>
          <cell r="J7" t="str">
            <v>Budget Amount</v>
          </cell>
          <cell r="K7" t="str">
            <v>Budget Amount</v>
          </cell>
          <cell r="L7" t="str">
            <v>Budget Amount</v>
          </cell>
          <cell r="M7" t="str">
            <v>Budget Amount</v>
          </cell>
          <cell r="N7" t="str">
            <v>Budget Amount</v>
          </cell>
        </row>
        <row r="8">
          <cell r="A8" t="str">
            <v>Income</v>
          </cell>
          <cell r="B8" t="str">
            <v>Jan</v>
          </cell>
          <cell r="C8" t="str">
            <v>Feb</v>
          </cell>
          <cell r="D8" t="str">
            <v>March</v>
          </cell>
          <cell r="E8" t="str">
            <v>April</v>
          </cell>
          <cell r="F8" t="str">
            <v>May</v>
          </cell>
          <cell r="G8" t="str">
            <v>June</v>
          </cell>
          <cell r="H8" t="str">
            <v>July</v>
          </cell>
          <cell r="I8" t="str">
            <v>Aug</v>
          </cell>
          <cell r="J8" t="str">
            <v>Sept</v>
          </cell>
          <cell r="K8" t="str">
            <v>Oct</v>
          </cell>
          <cell r="L8" t="str">
            <v>Nov</v>
          </cell>
          <cell r="M8" t="str">
            <v>Dec</v>
          </cell>
        </row>
        <row r="9">
          <cell r="A9" t="str">
            <v>SALES OF GOODS - SALES OF GOODS</v>
          </cell>
        </row>
        <row r="10">
          <cell r="A10" t="str">
            <v>101001 - Sales - Catering</v>
          </cell>
          <cell r="B10">
            <v>25410</v>
          </cell>
          <cell r="C10">
            <v>37840</v>
          </cell>
          <cell r="D10">
            <v>49855</v>
          </cell>
          <cell r="E10">
            <v>49765</v>
          </cell>
          <cell r="F10">
            <v>52250</v>
          </cell>
          <cell r="G10">
            <v>27490</v>
          </cell>
          <cell r="H10">
            <v>41910</v>
          </cell>
          <cell r="I10">
            <v>59215</v>
          </cell>
          <cell r="J10">
            <v>45255</v>
          </cell>
          <cell r="K10">
            <v>53515</v>
          </cell>
          <cell r="L10">
            <v>25030</v>
          </cell>
          <cell r="M10">
            <v>19150</v>
          </cell>
          <cell r="N10">
            <v>486685</v>
          </cell>
          <cell r="P10" t="str">
            <v>Jan + Feb higher sales due to Quobba closed</v>
          </cell>
        </row>
        <row r="11">
          <cell r="A11" t="str">
            <v>101005 - Sales - End of Day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 t="str">
            <v>2024 budget it based on 2023 sales budget + 4% (Jan - Oct)</v>
          </cell>
        </row>
        <row r="12">
          <cell r="A12" t="str">
            <v>101050 - Under/Overs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 t="str">
            <v>Consideration was given that we are down 10% this year</v>
          </cell>
        </row>
        <row r="13">
          <cell r="A13" t="str">
            <v>Total - SALES OF GOODS - SALES OF GOODS</v>
          </cell>
          <cell r="B13">
            <v>25410</v>
          </cell>
          <cell r="C13">
            <v>37840</v>
          </cell>
          <cell r="D13">
            <v>49855</v>
          </cell>
          <cell r="E13">
            <v>49765</v>
          </cell>
          <cell r="F13">
            <v>52250</v>
          </cell>
          <cell r="G13">
            <v>27490</v>
          </cell>
          <cell r="H13">
            <v>41910</v>
          </cell>
          <cell r="I13">
            <v>59215</v>
          </cell>
          <cell r="J13">
            <v>45255</v>
          </cell>
          <cell r="K13">
            <v>53515</v>
          </cell>
          <cell r="L13">
            <v>25030</v>
          </cell>
          <cell r="M13">
            <v>19150</v>
          </cell>
          <cell r="N13">
            <v>486685</v>
          </cell>
          <cell r="P13" t="str">
            <v>v 2: $441 260</v>
          </cell>
          <cell r="R13" t="str">
            <v>v 3: $443 425</v>
          </cell>
        </row>
        <row r="14">
          <cell r="A14" t="str">
            <v>SALES CATERING DISCOUNT - SALES CATERING DISCOUNT</v>
          </cell>
        </row>
        <row r="15">
          <cell r="A15" t="str">
            <v>102000 - Guild Member Discount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102003 - Other Promotional Discounts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- SALES CATERING DISCOUNT - SALES CATERING DISCOUNT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Total - Income</v>
          </cell>
          <cell r="B18">
            <v>25410</v>
          </cell>
          <cell r="C18">
            <v>37840</v>
          </cell>
          <cell r="D18">
            <v>49855</v>
          </cell>
          <cell r="E18">
            <v>49765</v>
          </cell>
          <cell r="F18">
            <v>52250</v>
          </cell>
          <cell r="G18">
            <v>27490</v>
          </cell>
          <cell r="H18">
            <v>41910</v>
          </cell>
          <cell r="I18">
            <v>59215</v>
          </cell>
          <cell r="J18">
            <v>45255</v>
          </cell>
          <cell r="K18">
            <v>53515</v>
          </cell>
          <cell r="L18">
            <v>25030</v>
          </cell>
          <cell r="M18">
            <v>19150</v>
          </cell>
          <cell r="N18">
            <v>486685</v>
          </cell>
        </row>
        <row r="19">
          <cell r="A19" t="str">
            <v>Cost Of Sales</v>
          </cell>
          <cell r="B19">
            <v>0.34</v>
          </cell>
          <cell r="C19">
            <v>0.34</v>
          </cell>
          <cell r="D19">
            <v>0.34</v>
          </cell>
          <cell r="E19">
            <v>0.34</v>
          </cell>
          <cell r="F19">
            <v>0.34</v>
          </cell>
          <cell r="G19">
            <v>0.34</v>
          </cell>
          <cell r="H19">
            <v>0.34</v>
          </cell>
          <cell r="I19">
            <v>0.34</v>
          </cell>
          <cell r="J19">
            <v>0.34</v>
          </cell>
          <cell r="K19">
            <v>0.34</v>
          </cell>
          <cell r="L19">
            <v>0.34</v>
          </cell>
          <cell r="M19">
            <v>0.34</v>
          </cell>
        </row>
        <row r="20">
          <cell r="A20" t="str">
            <v>201070 - Cost of Goods Sold</v>
          </cell>
          <cell r="B20">
            <v>8639.4000000000015</v>
          </cell>
          <cell r="C20">
            <v>12865.6</v>
          </cell>
          <cell r="D20">
            <v>16950.7</v>
          </cell>
          <cell r="E20">
            <v>16920.100000000002</v>
          </cell>
          <cell r="F20">
            <v>17765</v>
          </cell>
          <cell r="G20">
            <v>9346.6</v>
          </cell>
          <cell r="H20">
            <v>14249.400000000001</v>
          </cell>
          <cell r="I20">
            <v>20133.100000000002</v>
          </cell>
          <cell r="J20">
            <v>15386.7</v>
          </cell>
          <cell r="K20">
            <v>18195.100000000002</v>
          </cell>
          <cell r="L20">
            <v>8510.2000000000007</v>
          </cell>
          <cell r="M20">
            <v>6511.0000000000009</v>
          </cell>
          <cell r="N20">
            <v>165472.90000000005</v>
          </cell>
          <cell r="P20" t="str">
            <v>v 2: $154 441</v>
          </cell>
        </row>
        <row r="21">
          <cell r="A21" t="str">
            <v>201075 - FREIGHT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201600 - Inter Department Transfers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Total - Cost Of Sales</v>
          </cell>
          <cell r="B23">
            <v>8639.4000000000015</v>
          </cell>
          <cell r="C23">
            <v>12865.6</v>
          </cell>
          <cell r="D23">
            <v>16950.7</v>
          </cell>
          <cell r="E23">
            <v>16920.100000000002</v>
          </cell>
          <cell r="F23">
            <v>17765</v>
          </cell>
          <cell r="G23">
            <v>9346.6</v>
          </cell>
          <cell r="H23">
            <v>14249.400000000001</v>
          </cell>
          <cell r="I23">
            <v>20133.100000000002</v>
          </cell>
          <cell r="J23">
            <v>15386.7</v>
          </cell>
          <cell r="K23">
            <v>18195.100000000002</v>
          </cell>
          <cell r="L23">
            <v>8510.2000000000007</v>
          </cell>
          <cell r="M23">
            <v>6511.0000000000009</v>
          </cell>
          <cell r="N23">
            <v>165472.90000000005</v>
          </cell>
        </row>
        <row r="24">
          <cell r="A24" t="str">
            <v>Gross Profit</v>
          </cell>
          <cell r="B24">
            <v>16770.599999999999</v>
          </cell>
          <cell r="C24">
            <v>24974.400000000001</v>
          </cell>
          <cell r="D24">
            <v>32904.300000000003</v>
          </cell>
          <cell r="E24">
            <v>32844.899999999994</v>
          </cell>
          <cell r="F24">
            <v>34485</v>
          </cell>
          <cell r="G24">
            <v>18143.400000000001</v>
          </cell>
          <cell r="H24">
            <v>27660.6</v>
          </cell>
          <cell r="I24">
            <v>39081.899999999994</v>
          </cell>
          <cell r="J24">
            <v>29868.3</v>
          </cell>
          <cell r="K24">
            <v>35319.899999999994</v>
          </cell>
          <cell r="L24">
            <v>16519.8</v>
          </cell>
          <cell r="M24">
            <v>12639</v>
          </cell>
          <cell r="N24">
            <v>321212.09999999998</v>
          </cell>
        </row>
        <row r="25">
          <cell r="A25" t="str">
            <v>Expenses</v>
          </cell>
        </row>
        <row r="26">
          <cell r="A26" t="str">
            <v>ADMINISTRATIVE EXPENSES - ADMINISTRATIVE EXPENSES</v>
          </cell>
        </row>
        <row r="27">
          <cell r="A27" t="str">
            <v>305108 - Cleaning Contract</v>
          </cell>
          <cell r="B27">
            <v>295</v>
          </cell>
          <cell r="C27">
            <v>295</v>
          </cell>
          <cell r="D27">
            <v>295</v>
          </cell>
          <cell r="E27">
            <v>295</v>
          </cell>
          <cell r="F27">
            <v>295</v>
          </cell>
          <cell r="G27">
            <v>295</v>
          </cell>
          <cell r="H27">
            <v>295</v>
          </cell>
          <cell r="I27">
            <v>295</v>
          </cell>
          <cell r="J27">
            <v>295</v>
          </cell>
          <cell r="K27">
            <v>295</v>
          </cell>
          <cell r="L27">
            <v>295</v>
          </cell>
          <cell r="M27">
            <v>295</v>
          </cell>
          <cell r="N27">
            <v>3540</v>
          </cell>
          <cell r="O27" t="str">
            <v>Jaymak $632 x2/ Dunbar $1730/ $500 Xsential service</v>
          </cell>
        </row>
        <row r="28">
          <cell r="A28" t="str">
            <v>305109 - Cleaning Consumables</v>
          </cell>
          <cell r="B28">
            <v>170</v>
          </cell>
          <cell r="C28">
            <v>170</v>
          </cell>
          <cell r="D28">
            <v>170</v>
          </cell>
          <cell r="E28">
            <v>170</v>
          </cell>
          <cell r="F28">
            <v>170</v>
          </cell>
          <cell r="G28">
            <v>170</v>
          </cell>
          <cell r="H28">
            <v>170</v>
          </cell>
          <cell r="I28">
            <v>170</v>
          </cell>
          <cell r="J28">
            <v>170</v>
          </cell>
          <cell r="K28">
            <v>170</v>
          </cell>
          <cell r="L28">
            <v>170</v>
          </cell>
          <cell r="M28">
            <v>170</v>
          </cell>
          <cell r="N28">
            <v>2040</v>
          </cell>
        </row>
        <row r="29">
          <cell r="A29" t="str">
            <v>305111 - Communication Expenses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20</v>
          </cell>
          <cell r="I29">
            <v>20</v>
          </cell>
          <cell r="J29">
            <v>20</v>
          </cell>
          <cell r="K29">
            <v>20</v>
          </cell>
          <cell r="L29">
            <v>20</v>
          </cell>
          <cell r="M29">
            <v>20</v>
          </cell>
          <cell r="N29">
            <v>240</v>
          </cell>
        </row>
        <row r="30">
          <cell r="A30" t="str">
            <v>305112 - Paper Products &amp; Packaging</v>
          </cell>
          <cell r="B30">
            <v>450</v>
          </cell>
          <cell r="C30">
            <v>550</v>
          </cell>
          <cell r="D30">
            <v>550</v>
          </cell>
          <cell r="E30">
            <v>550</v>
          </cell>
          <cell r="F30">
            <v>550</v>
          </cell>
          <cell r="G30">
            <v>550</v>
          </cell>
          <cell r="H30">
            <v>550</v>
          </cell>
          <cell r="I30">
            <v>550</v>
          </cell>
          <cell r="J30">
            <v>550</v>
          </cell>
          <cell r="K30">
            <v>550</v>
          </cell>
          <cell r="L30">
            <v>300</v>
          </cell>
          <cell r="M30">
            <v>300</v>
          </cell>
          <cell r="N30">
            <v>6000</v>
          </cell>
        </row>
        <row r="31">
          <cell r="A31" t="str">
            <v>305114 - Computer Expenses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305132 - Utilities</v>
          </cell>
          <cell r="B32">
            <v>1700</v>
          </cell>
          <cell r="C32">
            <v>1700</v>
          </cell>
          <cell r="D32">
            <v>1700</v>
          </cell>
          <cell r="E32">
            <v>1700</v>
          </cell>
          <cell r="F32">
            <v>1700</v>
          </cell>
          <cell r="G32">
            <v>1700</v>
          </cell>
          <cell r="H32">
            <v>1700</v>
          </cell>
          <cell r="I32">
            <v>1700</v>
          </cell>
          <cell r="J32">
            <v>1700</v>
          </cell>
          <cell r="K32">
            <v>1700</v>
          </cell>
          <cell r="L32">
            <v>1700</v>
          </cell>
          <cell r="M32">
            <v>1700</v>
          </cell>
          <cell r="N32">
            <v>20400</v>
          </cell>
        </row>
        <row r="33">
          <cell r="A33" t="str">
            <v>305147 - General Expenses</v>
          </cell>
          <cell r="B33">
            <v>45</v>
          </cell>
          <cell r="C33">
            <v>45</v>
          </cell>
          <cell r="D33">
            <v>45</v>
          </cell>
          <cell r="E33">
            <v>45</v>
          </cell>
          <cell r="F33">
            <v>45</v>
          </cell>
          <cell r="G33">
            <v>45</v>
          </cell>
          <cell r="H33">
            <v>45</v>
          </cell>
          <cell r="I33">
            <v>45</v>
          </cell>
          <cell r="J33">
            <v>45</v>
          </cell>
          <cell r="K33">
            <v>45</v>
          </cell>
          <cell r="L33">
            <v>45</v>
          </cell>
          <cell r="M33">
            <v>45</v>
          </cell>
          <cell r="N33">
            <v>540</v>
          </cell>
        </row>
        <row r="34">
          <cell r="A34" t="str">
            <v>305156 - Laundry</v>
          </cell>
          <cell r="B34">
            <v>60</v>
          </cell>
          <cell r="C34">
            <v>60</v>
          </cell>
          <cell r="D34">
            <v>100</v>
          </cell>
          <cell r="E34">
            <v>165</v>
          </cell>
          <cell r="F34">
            <v>100</v>
          </cell>
          <cell r="G34">
            <v>80</v>
          </cell>
          <cell r="H34">
            <v>65</v>
          </cell>
          <cell r="I34">
            <v>90</v>
          </cell>
          <cell r="J34">
            <v>85</v>
          </cell>
          <cell r="K34">
            <v>60</v>
          </cell>
          <cell r="L34">
            <v>50</v>
          </cell>
          <cell r="M34">
            <v>50</v>
          </cell>
          <cell r="N34">
            <v>965</v>
          </cell>
        </row>
        <row r="35">
          <cell r="A35" t="str">
            <v>305162 - Licence &amp; Permits</v>
          </cell>
          <cell r="B35">
            <v>44</v>
          </cell>
          <cell r="C35">
            <v>44</v>
          </cell>
          <cell r="D35">
            <v>44</v>
          </cell>
          <cell r="E35">
            <v>44</v>
          </cell>
          <cell r="F35">
            <v>44</v>
          </cell>
          <cell r="G35">
            <v>44</v>
          </cell>
          <cell r="H35">
            <v>44</v>
          </cell>
          <cell r="I35">
            <v>44</v>
          </cell>
          <cell r="J35">
            <v>44</v>
          </cell>
          <cell r="K35">
            <v>44</v>
          </cell>
          <cell r="L35">
            <v>44</v>
          </cell>
          <cell r="M35">
            <v>44</v>
          </cell>
          <cell r="N35">
            <v>528</v>
          </cell>
          <cell r="O35" t="str">
            <v>City of Perth $260 x 2 = $520</v>
          </cell>
        </row>
        <row r="36">
          <cell r="A36" t="str">
            <v>305168 - Occupational  Health &amp; Safety</v>
          </cell>
          <cell r="B36">
            <v>18</v>
          </cell>
          <cell r="C36">
            <v>18</v>
          </cell>
          <cell r="D36">
            <v>18</v>
          </cell>
          <cell r="E36">
            <v>18</v>
          </cell>
          <cell r="F36">
            <v>18</v>
          </cell>
          <cell r="G36">
            <v>18</v>
          </cell>
          <cell r="H36">
            <v>18</v>
          </cell>
          <cell r="I36">
            <v>18</v>
          </cell>
          <cell r="J36">
            <v>18</v>
          </cell>
          <cell r="K36">
            <v>18</v>
          </cell>
          <cell r="L36">
            <v>18</v>
          </cell>
          <cell r="M36">
            <v>18</v>
          </cell>
          <cell r="N36">
            <v>216</v>
          </cell>
          <cell r="O36" t="str">
            <v>First Aid Kit $90.5 x2</v>
          </cell>
        </row>
        <row r="37">
          <cell r="A37" t="str">
            <v>305180 - Printing &amp; Stationery</v>
          </cell>
          <cell r="B37">
            <v>45</v>
          </cell>
          <cell r="C37">
            <v>45</v>
          </cell>
          <cell r="D37">
            <v>45</v>
          </cell>
          <cell r="E37">
            <v>45</v>
          </cell>
          <cell r="F37">
            <v>45</v>
          </cell>
          <cell r="G37">
            <v>45</v>
          </cell>
          <cell r="H37">
            <v>45</v>
          </cell>
          <cell r="I37">
            <v>45</v>
          </cell>
          <cell r="J37">
            <v>45</v>
          </cell>
          <cell r="K37">
            <v>45</v>
          </cell>
          <cell r="L37">
            <v>45</v>
          </cell>
          <cell r="M37">
            <v>45</v>
          </cell>
          <cell r="N37">
            <v>540</v>
          </cell>
        </row>
        <row r="38">
          <cell r="A38" t="str">
            <v>305185 - Minor Assets</v>
          </cell>
          <cell r="B38">
            <v>45</v>
          </cell>
          <cell r="C38">
            <v>45</v>
          </cell>
          <cell r="D38">
            <v>45</v>
          </cell>
          <cell r="E38">
            <v>45</v>
          </cell>
          <cell r="F38">
            <v>45</v>
          </cell>
          <cell r="G38">
            <v>45</v>
          </cell>
          <cell r="H38">
            <v>45</v>
          </cell>
          <cell r="I38">
            <v>45</v>
          </cell>
          <cell r="J38">
            <v>45</v>
          </cell>
          <cell r="K38">
            <v>45</v>
          </cell>
          <cell r="L38">
            <v>45</v>
          </cell>
          <cell r="M38">
            <v>45</v>
          </cell>
          <cell r="N38">
            <v>540</v>
          </cell>
        </row>
        <row r="39">
          <cell r="A39" t="str">
            <v>305187 - Software Digital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200</v>
          </cell>
          <cell r="H39">
            <v>200</v>
          </cell>
          <cell r="I39">
            <v>200</v>
          </cell>
          <cell r="J39">
            <v>200</v>
          </cell>
          <cell r="K39">
            <v>200</v>
          </cell>
          <cell r="L39">
            <v>200</v>
          </cell>
          <cell r="M39">
            <v>200</v>
          </cell>
          <cell r="N39">
            <v>2400</v>
          </cell>
        </row>
        <row r="40">
          <cell r="A40" t="str">
            <v>305189 - Repairs &amp; Maintenance</v>
          </cell>
          <cell r="B40">
            <v>415</v>
          </cell>
          <cell r="C40">
            <v>415</v>
          </cell>
          <cell r="D40">
            <v>415</v>
          </cell>
          <cell r="E40">
            <v>415</v>
          </cell>
          <cell r="F40">
            <v>415</v>
          </cell>
          <cell r="G40">
            <v>415</v>
          </cell>
          <cell r="H40">
            <v>415</v>
          </cell>
          <cell r="I40">
            <v>415</v>
          </cell>
          <cell r="J40">
            <v>415</v>
          </cell>
          <cell r="K40">
            <v>415</v>
          </cell>
          <cell r="L40">
            <v>415</v>
          </cell>
          <cell r="M40">
            <v>415</v>
          </cell>
          <cell r="N40">
            <v>4980</v>
          </cell>
        </row>
        <row r="41">
          <cell r="A41" t="str">
            <v>305197 - Replacement of Glass/Cutlery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  <cell r="N41">
            <v>120</v>
          </cell>
        </row>
        <row r="42">
          <cell r="A42" t="str">
            <v>305219 - Subscriptions</v>
          </cell>
          <cell r="B42">
            <v>135</v>
          </cell>
          <cell r="C42">
            <v>135</v>
          </cell>
          <cell r="D42">
            <v>135</v>
          </cell>
          <cell r="E42">
            <v>135</v>
          </cell>
          <cell r="F42">
            <v>135</v>
          </cell>
          <cell r="G42">
            <v>135</v>
          </cell>
          <cell r="H42">
            <v>135</v>
          </cell>
          <cell r="I42">
            <v>135</v>
          </cell>
          <cell r="J42">
            <v>135</v>
          </cell>
          <cell r="K42">
            <v>135</v>
          </cell>
          <cell r="L42">
            <v>135</v>
          </cell>
          <cell r="M42">
            <v>135</v>
          </cell>
          <cell r="N42">
            <v>1620</v>
          </cell>
          <cell r="O42" t="str">
            <v>buzzers + newspapers</v>
          </cell>
        </row>
        <row r="43">
          <cell r="A43" t="str">
            <v>305225 - Uniforms</v>
          </cell>
          <cell r="B43">
            <v>10</v>
          </cell>
          <cell r="C43">
            <v>10</v>
          </cell>
          <cell r="D43">
            <v>10</v>
          </cell>
          <cell r="E43">
            <v>10</v>
          </cell>
          <cell r="F43">
            <v>10</v>
          </cell>
          <cell r="G43">
            <v>10</v>
          </cell>
          <cell r="H43">
            <v>10</v>
          </cell>
          <cell r="I43">
            <v>10</v>
          </cell>
          <cell r="J43">
            <v>10</v>
          </cell>
          <cell r="K43">
            <v>10</v>
          </cell>
          <cell r="L43">
            <v>10</v>
          </cell>
          <cell r="M43">
            <v>10</v>
          </cell>
          <cell r="N43">
            <v>120</v>
          </cell>
        </row>
        <row r="44">
          <cell r="A44" t="str">
            <v>305228 - Waste Control</v>
          </cell>
          <cell r="B44">
            <v>605</v>
          </cell>
          <cell r="C44">
            <v>605</v>
          </cell>
          <cell r="D44">
            <v>605</v>
          </cell>
          <cell r="E44">
            <v>605</v>
          </cell>
          <cell r="F44">
            <v>605</v>
          </cell>
          <cell r="G44">
            <v>605</v>
          </cell>
          <cell r="H44">
            <v>605</v>
          </cell>
          <cell r="I44">
            <v>605</v>
          </cell>
          <cell r="J44">
            <v>605</v>
          </cell>
          <cell r="K44">
            <v>605</v>
          </cell>
          <cell r="L44">
            <v>605</v>
          </cell>
          <cell r="M44">
            <v>605</v>
          </cell>
          <cell r="N44">
            <v>7260</v>
          </cell>
          <cell r="O44" t="str">
            <v>* savings possible if we don’t do prep anymore, will review 2024</v>
          </cell>
        </row>
        <row r="45">
          <cell r="A45" t="str">
            <v>306001 - Depreciation - Plant &amp; Equipment</v>
          </cell>
          <cell r="B45">
            <v>395.06</v>
          </cell>
          <cell r="C45">
            <v>395.06</v>
          </cell>
          <cell r="D45">
            <v>395.06</v>
          </cell>
          <cell r="E45">
            <v>395.06</v>
          </cell>
          <cell r="F45">
            <v>395.06</v>
          </cell>
          <cell r="G45">
            <v>395.06</v>
          </cell>
          <cell r="H45">
            <v>395.06</v>
          </cell>
          <cell r="I45">
            <v>395.06</v>
          </cell>
          <cell r="J45">
            <v>395.06</v>
          </cell>
          <cell r="K45">
            <v>395.06</v>
          </cell>
          <cell r="L45">
            <v>395.06</v>
          </cell>
          <cell r="M45">
            <v>395.06</v>
          </cell>
          <cell r="N45">
            <v>4740.72</v>
          </cell>
        </row>
        <row r="46">
          <cell r="A46" t="str">
            <v xml:space="preserve">306001 - Depreciation - Property </v>
          </cell>
          <cell r="B46">
            <v>142.15</v>
          </cell>
          <cell r="C46">
            <v>142.15</v>
          </cell>
          <cell r="D46">
            <v>142.15</v>
          </cell>
          <cell r="E46">
            <v>142.15</v>
          </cell>
          <cell r="F46">
            <v>142.15</v>
          </cell>
          <cell r="G46">
            <v>142.15</v>
          </cell>
          <cell r="H46">
            <v>142.15</v>
          </cell>
          <cell r="I46">
            <v>142.15</v>
          </cell>
          <cell r="J46">
            <v>142.15</v>
          </cell>
          <cell r="K46">
            <v>142.15</v>
          </cell>
          <cell r="L46">
            <v>142.15</v>
          </cell>
          <cell r="M46">
            <v>142.15</v>
          </cell>
          <cell r="N46">
            <v>1705.8000000000004</v>
          </cell>
        </row>
        <row r="47">
          <cell r="A47" t="str">
            <v>Total - ADMINISTRATIVE EXPENSES - ADMINISTRATIVE EXPENSES</v>
          </cell>
          <cell r="B47">
            <v>4804.21</v>
          </cell>
          <cell r="C47">
            <v>4904.21</v>
          </cell>
          <cell r="D47">
            <v>4944.21</v>
          </cell>
          <cell r="E47">
            <v>5009.21</v>
          </cell>
          <cell r="F47">
            <v>4944.21</v>
          </cell>
          <cell r="G47">
            <v>4924.21</v>
          </cell>
          <cell r="H47">
            <v>4909.21</v>
          </cell>
          <cell r="I47">
            <v>4934.21</v>
          </cell>
          <cell r="J47">
            <v>4929.21</v>
          </cell>
          <cell r="K47">
            <v>4904.21</v>
          </cell>
          <cell r="L47">
            <v>4644.21</v>
          </cell>
          <cell r="M47">
            <v>4644.21</v>
          </cell>
          <cell r="N47">
            <v>58495.520000000004</v>
          </cell>
        </row>
        <row r="48">
          <cell r="A48" t="str">
            <v>EMPLOYEE BENEFITS EXPENSE - EMPLOYEE BENEFITS EXPENSE</v>
          </cell>
          <cell r="B48">
            <v>0.56764436999434287</v>
          </cell>
          <cell r="C48">
            <v>0.47422056275123869</v>
          </cell>
          <cell r="D48">
            <v>0.34039124616949157</v>
          </cell>
          <cell r="E48">
            <v>0.34730769399632022</v>
          </cell>
          <cell r="F48">
            <v>0.33559075297386359</v>
          </cell>
          <cell r="G48">
            <v>0.48081556830374456</v>
          </cell>
          <cell r="H48">
            <v>0.42586921156839064</v>
          </cell>
          <cell r="I48">
            <v>0.33451803869779084</v>
          </cell>
          <cell r="J48">
            <v>0.40600303897773732</v>
          </cell>
          <cell r="K48">
            <v>0.39813166695003738</v>
          </cell>
          <cell r="L48">
            <v>0.48079499716090685</v>
          </cell>
          <cell r="M48">
            <v>0.43697408013015665</v>
          </cell>
          <cell r="N48">
            <v>0.40090255450372214</v>
          </cell>
          <cell r="R48">
            <v>0.48</v>
          </cell>
        </row>
        <row r="49">
          <cell r="A49" t="str">
            <v>304001 - Salaries &amp; Wages - Permanent Staff</v>
          </cell>
          <cell r="B49">
            <v>11500</v>
          </cell>
          <cell r="C49">
            <v>9850</v>
          </cell>
          <cell r="D49">
            <v>4800</v>
          </cell>
          <cell r="E49">
            <v>5050</v>
          </cell>
          <cell r="F49">
            <v>5250</v>
          </cell>
          <cell r="G49">
            <v>4565</v>
          </cell>
          <cell r="H49">
            <v>5500</v>
          </cell>
          <cell r="I49">
            <v>5225</v>
          </cell>
          <cell r="J49">
            <v>5000</v>
          </cell>
          <cell r="K49">
            <v>5500</v>
          </cell>
          <cell r="L49">
            <v>5000</v>
          </cell>
          <cell r="M49">
            <v>3800</v>
          </cell>
          <cell r="N49">
            <v>71040</v>
          </cell>
          <cell r="P49" t="str">
            <v>v 2: $71 040</v>
          </cell>
          <cell r="R49" t="str">
            <v>v 3: $71 040</v>
          </cell>
        </row>
        <row r="50">
          <cell r="A50" t="str">
            <v>304004 - Salaries &amp; Wages - Other</v>
          </cell>
          <cell r="B50">
            <v>0</v>
          </cell>
          <cell r="C50">
            <v>4850</v>
          </cell>
          <cell r="D50">
            <v>9500</v>
          </cell>
          <cell r="E50">
            <v>9500</v>
          </cell>
          <cell r="F50">
            <v>9500</v>
          </cell>
          <cell r="G50">
            <v>6500</v>
          </cell>
          <cell r="H50">
            <v>9500</v>
          </cell>
          <cell r="I50">
            <v>11500</v>
          </cell>
          <cell r="J50">
            <v>10500</v>
          </cell>
          <cell r="K50">
            <v>12500</v>
          </cell>
          <cell r="L50">
            <v>5000</v>
          </cell>
          <cell r="M50">
            <v>3125</v>
          </cell>
          <cell r="N50">
            <v>91975</v>
          </cell>
          <cell r="P50" t="str">
            <v>v 2: $128 390</v>
          </cell>
          <cell r="R50" t="str">
            <v>v 3: $123 550</v>
          </cell>
        </row>
        <row r="51">
          <cell r="A51" t="str">
            <v>304010 - Superannuation</v>
          </cell>
          <cell r="B51">
            <v>1475.0929264375002</v>
          </cell>
          <cell r="C51">
            <v>1835.1429087312501</v>
          </cell>
          <cell r="D51">
            <v>1735.5034606000002</v>
          </cell>
          <cell r="E51">
            <v>1767.5706981312501</v>
          </cell>
          <cell r="F51">
            <v>1793.2244881562499</v>
          </cell>
          <cell r="G51">
            <v>1351.7352573206251</v>
          </cell>
          <cell r="H51">
            <v>1825.2917256875003</v>
          </cell>
          <cell r="I51">
            <v>2025.7677644031251</v>
          </cell>
          <cell r="J51">
            <v>1879.032250625</v>
          </cell>
          <cell r="K51">
            <v>2178.9167256875003</v>
          </cell>
          <cell r="L51">
            <v>1230.719750625</v>
          </cell>
          <cell r="M51">
            <v>855.78138547499998</v>
          </cell>
          <cell r="N51">
            <v>19953.779341879999</v>
          </cell>
        </row>
        <row r="52">
          <cell r="A52" t="str">
            <v>304013 - Workers Compensation Insurance</v>
          </cell>
          <cell r="B52">
            <v>121.85550261875001</v>
          </cell>
          <cell r="C52">
            <v>151.59876202562501</v>
          </cell>
          <cell r="D52">
            <v>143.36767718000002</v>
          </cell>
          <cell r="E52">
            <v>146.016709845625</v>
          </cell>
          <cell r="F52">
            <v>148.13593597812499</v>
          </cell>
          <cell r="G52">
            <v>111.6650864743125</v>
          </cell>
          <cell r="H52">
            <v>150.78496864375001</v>
          </cell>
          <cell r="I52">
            <v>167.34603271156249</v>
          </cell>
          <cell r="J52">
            <v>155.22440331249999</v>
          </cell>
          <cell r="K52">
            <v>179.99746864375001</v>
          </cell>
          <cell r="L52">
            <v>101.6681533125</v>
          </cell>
          <cell r="M52">
            <v>70.694984017499991</v>
          </cell>
          <cell r="N52">
            <v>1648.3556847639998</v>
          </cell>
        </row>
        <row r="53">
          <cell r="A53" t="str">
            <v>304016 - Annual Leave Provision</v>
          </cell>
          <cell r="B53">
            <v>1039.3950125000001</v>
          </cell>
          <cell r="C53">
            <v>890.26442375000011</v>
          </cell>
          <cell r="D53">
            <v>433.83444000000003</v>
          </cell>
          <cell r="E53">
            <v>456.42998375000002</v>
          </cell>
          <cell r="F53">
            <v>474.50641875000008</v>
          </cell>
          <cell r="G53">
            <v>412.59462887500001</v>
          </cell>
          <cell r="H53">
            <v>497.10196250000007</v>
          </cell>
          <cell r="I53">
            <v>472.24686437500009</v>
          </cell>
          <cell r="J53">
            <v>451.91087500000003</v>
          </cell>
          <cell r="K53">
            <v>497.10196250000007</v>
          </cell>
          <cell r="L53">
            <v>451.91087500000003</v>
          </cell>
          <cell r="M53">
            <v>343.45226500000001</v>
          </cell>
          <cell r="N53">
            <v>6420.7497120000007</v>
          </cell>
        </row>
        <row r="54">
          <cell r="A54" t="str">
            <v>304019 - Long Service Leave Provision</v>
          </cell>
          <cell r="B54">
            <v>287.5</v>
          </cell>
          <cell r="C54">
            <v>367.5</v>
          </cell>
          <cell r="D54">
            <v>357.5</v>
          </cell>
          <cell r="E54">
            <v>363.75</v>
          </cell>
          <cell r="F54">
            <v>368.75</v>
          </cell>
          <cell r="G54">
            <v>276.625</v>
          </cell>
          <cell r="H54">
            <v>375</v>
          </cell>
          <cell r="I54">
            <v>418.125</v>
          </cell>
          <cell r="J54">
            <v>387.5</v>
          </cell>
          <cell r="K54">
            <v>450</v>
          </cell>
          <cell r="L54">
            <v>250</v>
          </cell>
          <cell r="M54">
            <v>173.125</v>
          </cell>
          <cell r="N54">
            <v>4075.375</v>
          </cell>
        </row>
        <row r="55">
          <cell r="A55" t="str">
            <v>Total - EMPLOYEE BENEFITS EXPENSE - EMPLOYEE BENEFITS EXPENSE</v>
          </cell>
          <cell r="B55">
            <v>14423.843441556251</v>
          </cell>
          <cell r="C55">
            <v>17944.506094506873</v>
          </cell>
          <cell r="D55">
            <v>16970.205577780001</v>
          </cell>
          <cell r="E55">
            <v>17283.767391726877</v>
          </cell>
          <cell r="F55">
            <v>17534.616842884374</v>
          </cell>
          <cell r="G55">
            <v>13217.619972669938</v>
          </cell>
          <cell r="H55">
            <v>17848.178656831253</v>
          </cell>
          <cell r="I55">
            <v>19808.485661489685</v>
          </cell>
          <cell r="J55">
            <v>18373.667528937502</v>
          </cell>
          <cell r="K55">
            <v>21306.016156831251</v>
          </cell>
          <cell r="L55">
            <v>12034.298778937498</v>
          </cell>
          <cell r="M55">
            <v>8368.0536344925004</v>
          </cell>
          <cell r="N55">
            <v>195113.259738644</v>
          </cell>
          <cell r="O55">
            <v>0.40090255450372214</v>
          </cell>
        </row>
        <row r="56">
          <cell r="A56" t="str">
            <v>Total - Expenses</v>
          </cell>
          <cell r="B56">
            <v>19228.053441556251</v>
          </cell>
          <cell r="C56">
            <v>22848.716094506872</v>
          </cell>
          <cell r="D56">
            <v>21914.415577780001</v>
          </cell>
          <cell r="E56">
            <v>22292.977391726876</v>
          </cell>
          <cell r="F56">
            <v>22478.826842884373</v>
          </cell>
          <cell r="G56">
            <v>18141.829972669937</v>
          </cell>
          <cell r="H56">
            <v>22757.388656831252</v>
          </cell>
          <cell r="I56">
            <v>24742.695661489684</v>
          </cell>
          <cell r="J56">
            <v>23302.877528937501</v>
          </cell>
          <cell r="K56">
            <v>26210.22615683125</v>
          </cell>
          <cell r="L56">
            <v>16678.508778937499</v>
          </cell>
          <cell r="M56">
            <v>13012.263634492501</v>
          </cell>
          <cell r="N56">
            <v>253608.77973864402</v>
          </cell>
        </row>
        <row r="57">
          <cell r="A57" t="str">
            <v>Operating Profit</v>
          </cell>
          <cell r="B57">
            <v>-2457.4534415562521</v>
          </cell>
          <cell r="C57">
            <v>2125.6839054931297</v>
          </cell>
          <cell r="D57">
            <v>10989.884422220002</v>
          </cell>
          <cell r="E57">
            <v>10551.922608273118</v>
          </cell>
          <cell r="F57">
            <v>12006.173157115627</v>
          </cell>
          <cell r="G57">
            <v>1.5700273300644767</v>
          </cell>
          <cell r="H57">
            <v>4903.2113431687467</v>
          </cell>
          <cell r="I57">
            <v>14339.20433851031</v>
          </cell>
          <cell r="J57">
            <v>6565.4224710624985</v>
          </cell>
          <cell r="K57">
            <v>9109.6738431687445</v>
          </cell>
          <cell r="L57">
            <v>-158.70877893750003</v>
          </cell>
          <cell r="M57">
            <v>-373.2636344925013</v>
          </cell>
          <cell r="N57">
            <v>67603.320261355955</v>
          </cell>
        </row>
        <row r="58">
          <cell r="A58" t="str">
            <v>Net Profit/(Loss)</v>
          </cell>
          <cell r="B58">
            <v>-2457.4534415562521</v>
          </cell>
          <cell r="C58">
            <v>2125.6839054931297</v>
          </cell>
          <cell r="D58">
            <v>10989.884422220002</v>
          </cell>
          <cell r="E58">
            <v>10551.922608273118</v>
          </cell>
          <cell r="F58">
            <v>12006.173157115627</v>
          </cell>
          <cell r="G58">
            <v>1.5700273300644767</v>
          </cell>
          <cell r="H58">
            <v>4903.2113431687467</v>
          </cell>
          <cell r="I58">
            <v>14339.20433851031</v>
          </cell>
          <cell r="J58">
            <v>6565.4224710624985</v>
          </cell>
          <cell r="K58">
            <v>9109.6738431687445</v>
          </cell>
          <cell r="L58">
            <v>-158.70877893750003</v>
          </cell>
          <cell r="M58">
            <v>-373.2636344925013</v>
          </cell>
          <cell r="N58">
            <v>67603.320261355955</v>
          </cell>
          <cell r="P58" t="str">
            <v>v 2: -$8 762</v>
          </cell>
          <cell r="R58" t="str">
            <v>v 3: $2 657</v>
          </cell>
        </row>
      </sheetData>
      <sheetData sheetId="9">
        <row r="1">
          <cell r="A1" t="str">
            <v>Guild of Undergraduates</v>
          </cell>
        </row>
        <row r="2">
          <cell r="A2" t="str">
            <v>Budget Profit and Loss</v>
          </cell>
        </row>
        <row r="3">
          <cell r="A3" t="str">
            <v>FY 2024</v>
          </cell>
        </row>
        <row r="4">
          <cell r="A4" t="str">
            <v>KITCHEN</v>
          </cell>
        </row>
        <row r="5">
          <cell r="A5" t="str">
            <v/>
          </cell>
        </row>
        <row r="6">
          <cell r="A6" t="str">
            <v>Financial Row</v>
          </cell>
          <cell r="B6">
            <v>45292</v>
          </cell>
          <cell r="C6">
            <v>45323</v>
          </cell>
          <cell r="D6">
            <v>45352</v>
          </cell>
          <cell r="E6">
            <v>45383</v>
          </cell>
          <cell r="F6">
            <v>45413</v>
          </cell>
          <cell r="G6">
            <v>45444</v>
          </cell>
          <cell r="H6">
            <v>45474</v>
          </cell>
          <cell r="I6">
            <v>45505</v>
          </cell>
          <cell r="J6">
            <v>45536</v>
          </cell>
          <cell r="K6">
            <v>45566</v>
          </cell>
          <cell r="L6">
            <v>45597</v>
          </cell>
          <cell r="M6">
            <v>45627</v>
          </cell>
          <cell r="N6" t="str">
            <v>Total</v>
          </cell>
        </row>
        <row r="7">
          <cell r="A7" t="str">
            <v> </v>
          </cell>
          <cell r="B7" t="str">
            <v>Amount</v>
          </cell>
          <cell r="C7" t="str">
            <v>Amount</v>
          </cell>
          <cell r="D7" t="str">
            <v>Amount</v>
          </cell>
          <cell r="E7" t="str">
            <v>Amount</v>
          </cell>
          <cell r="F7" t="str">
            <v>Amount</v>
          </cell>
          <cell r="G7" t="str">
            <v>Amount</v>
          </cell>
          <cell r="H7" t="str">
            <v>Amount</v>
          </cell>
          <cell r="I7" t="str">
            <v>Amount</v>
          </cell>
          <cell r="J7" t="str">
            <v>Amount</v>
          </cell>
          <cell r="K7" t="str">
            <v>Amount</v>
          </cell>
          <cell r="L7" t="str">
            <v>Amount</v>
          </cell>
          <cell r="M7" t="str">
            <v>Amount</v>
          </cell>
          <cell r="N7" t="str">
            <v>Amount</v>
          </cell>
        </row>
        <row r="8">
          <cell r="A8" t="str">
            <v>Cost Of Sales</v>
          </cell>
        </row>
        <row r="9">
          <cell r="A9" t="str">
            <v>201601 - Inter Department Transfer: Labour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Total - Cost Of Sales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Gross Profit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Expenses</v>
          </cell>
        </row>
        <row r="13">
          <cell r="A13" t="str">
            <v>ADMINISTRATIVE EXPENSES - ADMINISTRATIVE EXPENSES</v>
          </cell>
        </row>
        <row r="14">
          <cell r="A14" t="str">
            <v>305108 - Cleaning Contract</v>
          </cell>
          <cell r="B14">
            <v>180</v>
          </cell>
          <cell r="C14">
            <v>1650</v>
          </cell>
          <cell r="D14">
            <v>220</v>
          </cell>
          <cell r="E14">
            <v>250</v>
          </cell>
          <cell r="F14">
            <v>220</v>
          </cell>
          <cell r="G14">
            <v>2000</v>
          </cell>
          <cell r="H14">
            <v>220</v>
          </cell>
          <cell r="I14">
            <v>250</v>
          </cell>
          <cell r="J14">
            <v>1519</v>
          </cell>
          <cell r="K14">
            <v>250</v>
          </cell>
          <cell r="L14">
            <v>2300</v>
          </cell>
          <cell r="M14">
            <v>180</v>
          </cell>
          <cell r="N14">
            <v>9239</v>
          </cell>
        </row>
        <row r="15">
          <cell r="A15" t="str">
            <v>305109 - Cleaning Consumables</v>
          </cell>
          <cell r="B15">
            <v>250</v>
          </cell>
          <cell r="C15">
            <v>250</v>
          </cell>
          <cell r="D15">
            <v>250</v>
          </cell>
          <cell r="E15">
            <v>250</v>
          </cell>
          <cell r="F15">
            <v>250</v>
          </cell>
          <cell r="G15">
            <v>250</v>
          </cell>
          <cell r="H15">
            <v>250</v>
          </cell>
          <cell r="I15">
            <v>250</v>
          </cell>
          <cell r="J15">
            <v>250</v>
          </cell>
          <cell r="K15">
            <v>250</v>
          </cell>
          <cell r="L15">
            <v>250</v>
          </cell>
          <cell r="M15">
            <v>150</v>
          </cell>
          <cell r="N15">
            <v>2900</v>
          </cell>
        </row>
        <row r="16">
          <cell r="A16" t="str">
            <v>305111 - Communication Expenses</v>
          </cell>
          <cell r="B16">
            <v>65</v>
          </cell>
          <cell r="C16">
            <v>65</v>
          </cell>
          <cell r="D16">
            <v>65</v>
          </cell>
          <cell r="E16">
            <v>65</v>
          </cell>
          <cell r="F16">
            <v>65</v>
          </cell>
          <cell r="G16">
            <v>65</v>
          </cell>
          <cell r="H16">
            <v>65</v>
          </cell>
          <cell r="I16">
            <v>65</v>
          </cell>
          <cell r="J16">
            <v>65</v>
          </cell>
          <cell r="K16">
            <v>65</v>
          </cell>
          <cell r="L16">
            <v>65</v>
          </cell>
          <cell r="M16">
            <v>65</v>
          </cell>
          <cell r="N16">
            <v>780</v>
          </cell>
        </row>
        <row r="17">
          <cell r="A17" t="str">
            <v>305112 - Paper Products &amp; Packaging</v>
          </cell>
          <cell r="B17">
            <v>350</v>
          </cell>
          <cell r="C17">
            <v>350</v>
          </cell>
          <cell r="D17">
            <v>350</v>
          </cell>
          <cell r="E17">
            <v>350</v>
          </cell>
          <cell r="F17">
            <v>350</v>
          </cell>
          <cell r="G17">
            <v>350</v>
          </cell>
          <cell r="H17">
            <v>350</v>
          </cell>
          <cell r="I17">
            <v>350</v>
          </cell>
          <cell r="J17">
            <v>350</v>
          </cell>
          <cell r="K17">
            <v>350</v>
          </cell>
          <cell r="L17">
            <v>350</v>
          </cell>
          <cell r="M17">
            <v>300</v>
          </cell>
          <cell r="N17">
            <v>4150</v>
          </cell>
        </row>
        <row r="18">
          <cell r="A18" t="str">
            <v>305141 - Equipment Rental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305132 - Utilities</v>
          </cell>
          <cell r="B19">
            <v>1000</v>
          </cell>
          <cell r="C19">
            <v>2000</v>
          </cell>
          <cell r="D19">
            <v>2000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J19">
            <v>2000</v>
          </cell>
          <cell r="K19">
            <v>2000</v>
          </cell>
          <cell r="L19">
            <v>3000</v>
          </cell>
          <cell r="M19">
            <v>1000</v>
          </cell>
          <cell r="N19">
            <v>23000</v>
          </cell>
        </row>
        <row r="20">
          <cell r="A20" t="str">
            <v>305162 - Licence &amp; Permits</v>
          </cell>
          <cell r="B20">
            <v>0</v>
          </cell>
          <cell r="C20">
            <v>0</v>
          </cell>
          <cell r="D20">
            <v>0</v>
          </cell>
          <cell r="E20">
            <v>30</v>
          </cell>
          <cell r="F20">
            <v>0</v>
          </cell>
          <cell r="G20">
            <v>0</v>
          </cell>
          <cell r="H20">
            <v>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230</v>
          </cell>
        </row>
        <row r="21">
          <cell r="A21" t="str">
            <v>305180 - Printing &amp; Stationery</v>
          </cell>
          <cell r="B21">
            <v>0</v>
          </cell>
          <cell r="C21">
            <v>0</v>
          </cell>
          <cell r="D21">
            <v>200</v>
          </cell>
          <cell r="E21">
            <v>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200</v>
          </cell>
          <cell r="K21">
            <v>0</v>
          </cell>
          <cell r="L21">
            <v>0</v>
          </cell>
          <cell r="M21">
            <v>0</v>
          </cell>
          <cell r="N21">
            <v>600</v>
          </cell>
        </row>
        <row r="22">
          <cell r="A22" t="str">
            <v>305187 - Software Digital</v>
          </cell>
          <cell r="B22">
            <v>155</v>
          </cell>
          <cell r="C22">
            <v>155</v>
          </cell>
          <cell r="D22">
            <v>155</v>
          </cell>
          <cell r="E22">
            <v>155</v>
          </cell>
          <cell r="F22">
            <v>155</v>
          </cell>
          <cell r="G22">
            <v>155</v>
          </cell>
          <cell r="H22">
            <v>155</v>
          </cell>
          <cell r="I22">
            <v>155</v>
          </cell>
          <cell r="J22">
            <v>155</v>
          </cell>
          <cell r="K22">
            <v>155</v>
          </cell>
          <cell r="L22">
            <v>155</v>
          </cell>
          <cell r="M22">
            <v>155</v>
          </cell>
          <cell r="N22">
            <v>1860</v>
          </cell>
        </row>
        <row r="23">
          <cell r="A23" t="str">
            <v>305197 - Replacement of Glass/Cutlery</v>
          </cell>
          <cell r="B23">
            <v>0</v>
          </cell>
          <cell r="C23">
            <v>600</v>
          </cell>
          <cell r="D23">
            <v>0</v>
          </cell>
          <cell r="E23">
            <v>0</v>
          </cell>
          <cell r="F23">
            <v>600</v>
          </cell>
          <cell r="G23">
            <v>0</v>
          </cell>
          <cell r="H23">
            <v>0</v>
          </cell>
          <cell r="I23">
            <v>600</v>
          </cell>
          <cell r="J23">
            <v>0</v>
          </cell>
          <cell r="K23">
            <v>0</v>
          </cell>
          <cell r="L23">
            <v>600</v>
          </cell>
          <cell r="M23">
            <v>0</v>
          </cell>
          <cell r="N23">
            <v>2400</v>
          </cell>
        </row>
        <row r="24">
          <cell r="A24" t="str">
            <v>305168 - Occupational health &amp; saftey</v>
          </cell>
          <cell r="B24">
            <v>0</v>
          </cell>
          <cell r="C24">
            <v>0</v>
          </cell>
          <cell r="D24">
            <v>100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</v>
          </cell>
          <cell r="K24">
            <v>0</v>
          </cell>
          <cell r="L24">
            <v>0</v>
          </cell>
          <cell r="M24">
            <v>0</v>
          </cell>
          <cell r="N24">
            <v>200</v>
          </cell>
        </row>
        <row r="25">
          <cell r="A25" t="str">
            <v>305156 - Laundry</v>
          </cell>
          <cell r="B25">
            <v>70</v>
          </cell>
          <cell r="C25">
            <v>70</v>
          </cell>
          <cell r="D25">
            <v>70</v>
          </cell>
          <cell r="E25">
            <v>70</v>
          </cell>
          <cell r="F25">
            <v>70</v>
          </cell>
          <cell r="G25">
            <v>70</v>
          </cell>
          <cell r="H25">
            <v>70</v>
          </cell>
          <cell r="I25">
            <v>70</v>
          </cell>
          <cell r="J25">
            <v>70</v>
          </cell>
          <cell r="K25">
            <v>70</v>
          </cell>
          <cell r="L25">
            <v>70</v>
          </cell>
          <cell r="M25">
            <v>70</v>
          </cell>
          <cell r="N25">
            <v>840</v>
          </cell>
        </row>
        <row r="26">
          <cell r="A26" t="str">
            <v>305185 - Minor assets</v>
          </cell>
          <cell r="B26">
            <v>0</v>
          </cell>
          <cell r="C26">
            <v>0</v>
          </cell>
          <cell r="D26">
            <v>0</v>
          </cell>
          <cell r="E26">
            <v>500</v>
          </cell>
          <cell r="F26">
            <v>0</v>
          </cell>
          <cell r="G26">
            <v>0</v>
          </cell>
          <cell r="H26">
            <v>0</v>
          </cell>
          <cell r="I26">
            <v>500</v>
          </cell>
          <cell r="J26">
            <v>0</v>
          </cell>
          <cell r="K26">
            <v>0</v>
          </cell>
          <cell r="L26">
            <v>0</v>
          </cell>
          <cell r="M26">
            <v>200</v>
          </cell>
          <cell r="N26">
            <v>1200</v>
          </cell>
        </row>
        <row r="27">
          <cell r="A27" t="str">
            <v>305189 - Repairs &amp;maintenance</v>
          </cell>
          <cell r="B27">
            <v>0</v>
          </cell>
          <cell r="C27">
            <v>0</v>
          </cell>
          <cell r="D27">
            <v>1500</v>
          </cell>
          <cell r="E27">
            <v>0</v>
          </cell>
          <cell r="F27">
            <v>0</v>
          </cell>
          <cell r="G27">
            <v>2000</v>
          </cell>
          <cell r="H27">
            <v>0</v>
          </cell>
          <cell r="I27">
            <v>0</v>
          </cell>
          <cell r="J27">
            <v>1500</v>
          </cell>
          <cell r="K27">
            <v>0</v>
          </cell>
          <cell r="L27">
            <v>0</v>
          </cell>
          <cell r="M27">
            <v>2000</v>
          </cell>
          <cell r="N27">
            <v>7000</v>
          </cell>
        </row>
        <row r="28">
          <cell r="A28" t="str">
            <v>305228 - Waste Control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306001 - Depreciation - Plant &amp; Equipment</v>
          </cell>
          <cell r="B29">
            <v>1249.4100000000001</v>
          </cell>
          <cell r="C29">
            <v>1249.4100000000001</v>
          </cell>
          <cell r="D29">
            <v>1249.4100000000001</v>
          </cell>
          <cell r="E29">
            <v>1249.4100000000001</v>
          </cell>
          <cell r="F29">
            <v>1249.4100000000001</v>
          </cell>
          <cell r="G29">
            <v>1249.4100000000001</v>
          </cell>
          <cell r="H29">
            <v>1249.4100000000001</v>
          </cell>
          <cell r="I29">
            <v>1249.4100000000001</v>
          </cell>
          <cell r="J29">
            <v>1249.4100000000001</v>
          </cell>
          <cell r="K29">
            <v>1249.4100000000001</v>
          </cell>
          <cell r="L29">
            <v>1249.4100000000001</v>
          </cell>
          <cell r="M29">
            <v>1249.4100000000001</v>
          </cell>
          <cell r="N29">
            <v>14992.92</v>
          </cell>
        </row>
        <row r="30">
          <cell r="A30" t="str">
            <v>306004 - Depreciation - Computer Equipment</v>
          </cell>
          <cell r="B30">
            <v>74.72</v>
          </cell>
          <cell r="C30">
            <v>74.72</v>
          </cell>
          <cell r="D30">
            <v>74.72</v>
          </cell>
          <cell r="E30">
            <v>74.72</v>
          </cell>
          <cell r="F30">
            <v>74.72</v>
          </cell>
          <cell r="G30">
            <v>74.72</v>
          </cell>
          <cell r="H30">
            <v>74.72</v>
          </cell>
          <cell r="I30">
            <v>74.72</v>
          </cell>
          <cell r="J30">
            <v>74.72</v>
          </cell>
          <cell r="K30">
            <v>74.72</v>
          </cell>
          <cell r="L30">
            <v>74.72</v>
          </cell>
          <cell r="M30">
            <v>74.72</v>
          </cell>
          <cell r="N30">
            <v>896.64000000000021</v>
          </cell>
        </row>
        <row r="31">
          <cell r="A31" t="str">
            <v>Total - ADMINISTRATIVE EXPENSES - ADMINISTRATIVE EXPENSES</v>
          </cell>
          <cell r="B31">
            <v>3394.1299999999997</v>
          </cell>
          <cell r="C31">
            <v>6464.13</v>
          </cell>
          <cell r="D31">
            <v>6234.13</v>
          </cell>
          <cell r="E31">
            <v>4994.13</v>
          </cell>
          <cell r="F31">
            <v>5034.13</v>
          </cell>
          <cell r="G31">
            <v>8414.1299999999992</v>
          </cell>
          <cell r="H31">
            <v>4634.13</v>
          </cell>
          <cell r="I31">
            <v>5564.13</v>
          </cell>
          <cell r="J31">
            <v>7533.13</v>
          </cell>
          <cell r="K31">
            <v>4464.13</v>
          </cell>
          <cell r="L31">
            <v>8114.13</v>
          </cell>
          <cell r="M31">
            <v>5444.13</v>
          </cell>
          <cell r="N31">
            <v>69391.92</v>
          </cell>
        </row>
        <row r="32">
          <cell r="A32" t="str">
            <v>EMPLOYEE BENEFITS EXPENSE - EMPLOYEE BENEFITS EXPENSE</v>
          </cell>
        </row>
        <row r="33">
          <cell r="A33" t="str">
            <v>304001 - Salaries &amp; Wages - Permanent Staff</v>
          </cell>
          <cell r="B33">
            <v>6341.1206225680935</v>
          </cell>
          <cell r="C33">
            <v>6674.8638132295719</v>
          </cell>
          <cell r="D33">
            <v>7008.6070038910511</v>
          </cell>
          <cell r="E33">
            <v>7342.3501945525295</v>
          </cell>
          <cell r="F33">
            <v>7676.0933852140079</v>
          </cell>
          <cell r="G33">
            <v>6674.8638132295719</v>
          </cell>
          <cell r="H33">
            <v>7676.0933852140079</v>
          </cell>
          <cell r="I33">
            <v>7342.3501945525295</v>
          </cell>
          <cell r="J33">
            <v>7008.6070038910511</v>
          </cell>
          <cell r="K33">
            <v>7676.0933852140079</v>
          </cell>
          <cell r="L33">
            <v>7008.6070038910511</v>
          </cell>
          <cell r="M33">
            <v>7342.3501945525295</v>
          </cell>
          <cell r="N33">
            <v>85772</v>
          </cell>
        </row>
        <row r="34">
          <cell r="A34" t="str">
            <v>304001 - Salaries &amp; Wages -  2nd Permanent Staff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304010 - Superannuation</v>
          </cell>
          <cell r="B35">
            <v>1308.4629887084106</v>
          </cell>
          <cell r="C35">
            <v>1377.329461798327</v>
          </cell>
          <cell r="D35">
            <v>1446.1959348882433</v>
          </cell>
          <cell r="E35">
            <v>1515.0624079781596</v>
          </cell>
          <cell r="F35">
            <v>1583.928881068076</v>
          </cell>
          <cell r="G35">
            <v>1377.329461798327</v>
          </cell>
          <cell r="H35">
            <v>1583.928881068076</v>
          </cell>
          <cell r="I35">
            <v>1515.0624079781596</v>
          </cell>
          <cell r="J35">
            <v>1446.1959348882433</v>
          </cell>
          <cell r="K35">
            <v>1583.928881068076</v>
          </cell>
          <cell r="L35">
            <v>1446.1959348882433</v>
          </cell>
          <cell r="M35">
            <v>1515.0624079781596</v>
          </cell>
          <cell r="N35">
            <v>17698.683584108498</v>
          </cell>
        </row>
        <row r="36">
          <cell r="A36" t="str">
            <v>304013 - Workers Compensation Insurance</v>
          </cell>
          <cell r="B36">
            <v>67.191342663404868</v>
          </cell>
          <cell r="C36">
            <v>70.727729119373535</v>
          </cell>
          <cell r="D36">
            <v>74.264115575342217</v>
          </cell>
          <cell r="E36">
            <v>77.800502031310899</v>
          </cell>
          <cell r="F36">
            <v>81.336888487279566</v>
          </cell>
          <cell r="G36">
            <v>70.727729119373535</v>
          </cell>
          <cell r="H36">
            <v>81.336888487279566</v>
          </cell>
          <cell r="I36">
            <v>77.800502031310899</v>
          </cell>
          <cell r="J36">
            <v>74.264115575342217</v>
          </cell>
          <cell r="K36">
            <v>81.336888487279566</v>
          </cell>
          <cell r="L36">
            <v>74.264115575342217</v>
          </cell>
          <cell r="M36">
            <v>77.800502031310899</v>
          </cell>
          <cell r="N36">
            <v>908.85131918394995</v>
          </cell>
        </row>
        <row r="37">
          <cell r="A37" t="str">
            <v>304016 - Annual Leave Provision</v>
          </cell>
          <cell r="B37">
            <v>730.21537380505833</v>
          </cell>
          <cell r="C37">
            <v>603.28870926848253</v>
          </cell>
          <cell r="D37">
            <v>633.4531447319066</v>
          </cell>
          <cell r="E37">
            <v>663.61758019533079</v>
          </cell>
          <cell r="F37">
            <v>693.78201565875486</v>
          </cell>
          <cell r="G37">
            <v>603.28870926848253</v>
          </cell>
          <cell r="H37">
            <v>693.78201565875486</v>
          </cell>
          <cell r="I37">
            <v>663.61758019533079</v>
          </cell>
          <cell r="J37">
            <v>633.4531447319066</v>
          </cell>
          <cell r="K37">
            <v>693.78201565875486</v>
          </cell>
          <cell r="L37">
            <v>633.4531447319066</v>
          </cell>
          <cell r="M37">
            <v>663.61758019533079</v>
          </cell>
          <cell r="N37">
            <v>7909.3510141000006</v>
          </cell>
        </row>
        <row r="38">
          <cell r="A38" t="str">
            <v>304019 - Long Service Leave Provision</v>
          </cell>
          <cell r="B38">
            <v>479.88021556420239</v>
          </cell>
          <cell r="C38">
            <v>166.87159533073932</v>
          </cell>
          <cell r="D38">
            <v>175.21517509727627</v>
          </cell>
          <cell r="E38">
            <v>183.55875486381325</v>
          </cell>
          <cell r="F38">
            <v>191.90233463035023</v>
          </cell>
          <cell r="G38">
            <v>166.87159533073932</v>
          </cell>
          <cell r="H38">
            <v>191.90233463035023</v>
          </cell>
          <cell r="I38">
            <v>183.55875486381325</v>
          </cell>
          <cell r="J38">
            <v>175.21517509727627</v>
          </cell>
          <cell r="K38">
            <v>191.90233463035023</v>
          </cell>
          <cell r="L38">
            <v>175.21517509727627</v>
          </cell>
          <cell r="M38">
            <v>183.55875486381325</v>
          </cell>
          <cell r="N38">
            <v>2465.6522</v>
          </cell>
        </row>
        <row r="39">
          <cell r="A39" t="str">
            <v>Total - EMPLOYEE BENEFITS EXPENSE - EMPLOYEE BENEFITS EXPENSE</v>
          </cell>
          <cell r="B39">
            <v>8926.8705433091691</v>
          </cell>
          <cell r="C39">
            <v>8893.0813087464958</v>
          </cell>
          <cell r="D39">
            <v>9337.7353741838197</v>
          </cell>
          <cell r="E39">
            <v>9782.3894396211435</v>
          </cell>
          <cell r="F39">
            <v>10227.043505058469</v>
          </cell>
          <cell r="G39">
            <v>8893.0813087464958</v>
          </cell>
          <cell r="H39">
            <v>10227.043505058469</v>
          </cell>
          <cell r="I39">
            <v>9782.3894396211435</v>
          </cell>
          <cell r="J39">
            <v>9337.7353741838197</v>
          </cell>
          <cell r="K39">
            <v>10227.043505058469</v>
          </cell>
          <cell r="L39">
            <v>9337.7353741838197</v>
          </cell>
          <cell r="M39">
            <v>9782.3894396211435</v>
          </cell>
          <cell r="N39">
            <v>114754.53811739244</v>
          </cell>
        </row>
        <row r="40">
          <cell r="A40" t="str">
            <v>Total - Expenses</v>
          </cell>
          <cell r="B40">
            <v>12321.000543309168</v>
          </cell>
          <cell r="C40">
            <v>15357.211308746497</v>
          </cell>
          <cell r="D40">
            <v>15571.865374183821</v>
          </cell>
          <cell r="E40">
            <v>14776.519439621145</v>
          </cell>
          <cell r="F40">
            <v>15261.173505058468</v>
          </cell>
          <cell r="G40">
            <v>17307.211308746497</v>
          </cell>
          <cell r="H40">
            <v>14861.173505058468</v>
          </cell>
          <cell r="I40">
            <v>15346.519439621145</v>
          </cell>
          <cell r="J40">
            <v>16870.865374183821</v>
          </cell>
          <cell r="K40">
            <v>14691.173505058468</v>
          </cell>
          <cell r="L40">
            <v>17451.865374183821</v>
          </cell>
          <cell r="M40">
            <v>15226.519439621145</v>
          </cell>
          <cell r="N40">
            <v>184146.45811739244</v>
          </cell>
        </row>
        <row r="41">
          <cell r="A41" t="str">
            <v>Operating Profit</v>
          </cell>
          <cell r="B41">
            <v>-12321.000543309168</v>
          </cell>
          <cell r="C41">
            <v>-15357.211308746497</v>
          </cell>
          <cell r="D41">
            <v>-15571.865374183821</v>
          </cell>
          <cell r="E41">
            <v>-14776.519439621145</v>
          </cell>
          <cell r="F41">
            <v>-15261.173505058468</v>
          </cell>
          <cell r="G41">
            <v>-17307.211308746497</v>
          </cell>
          <cell r="H41">
            <v>-14861.173505058468</v>
          </cell>
          <cell r="I41">
            <v>-15346.519439621145</v>
          </cell>
          <cell r="J41">
            <v>-16870.865374183821</v>
          </cell>
          <cell r="K41">
            <v>-14691.173505058468</v>
          </cell>
          <cell r="L41">
            <v>-17451.865374183821</v>
          </cell>
          <cell r="M41">
            <v>-15226.519439621145</v>
          </cell>
          <cell r="N41">
            <v>-184146.45811739244</v>
          </cell>
        </row>
        <row r="42">
          <cell r="A42" t="str">
            <v>Net Profit/(Loss)</v>
          </cell>
          <cell r="B42">
            <v>-12321.000543309168</v>
          </cell>
          <cell r="C42">
            <v>-15357.211308746497</v>
          </cell>
          <cell r="D42">
            <v>-15571.865374183821</v>
          </cell>
          <cell r="E42">
            <v>-14776.519439621145</v>
          </cell>
          <cell r="F42">
            <v>-15261.173505058468</v>
          </cell>
          <cell r="G42">
            <v>-17307.211308746497</v>
          </cell>
          <cell r="H42">
            <v>-14861.173505058468</v>
          </cell>
          <cell r="I42">
            <v>-15346.519439621145</v>
          </cell>
          <cell r="J42">
            <v>-16870.865374183821</v>
          </cell>
          <cell r="K42">
            <v>-14691.173505058468</v>
          </cell>
          <cell r="L42">
            <v>-17451.865374183821</v>
          </cell>
          <cell r="M42">
            <v>-15226.519439621145</v>
          </cell>
          <cell r="N42">
            <v>-184146.45811739244</v>
          </cell>
        </row>
      </sheetData>
      <sheetData sheetId="10">
        <row r="1">
          <cell r="A1" t="str">
            <v>Guild of Undergraduates</v>
          </cell>
        </row>
        <row r="2">
          <cell r="A2" t="str">
            <v>Budget 2024</v>
          </cell>
        </row>
        <row r="3">
          <cell r="A3" t="str">
            <v>Quobba Gnarning Café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>Financial Row</v>
          </cell>
        </row>
        <row r="7">
          <cell r="A7" t="str">
            <v> </v>
          </cell>
          <cell r="B7" t="str">
            <v>Budget Amount</v>
          </cell>
          <cell r="C7" t="str">
            <v>Budget Amount</v>
          </cell>
          <cell r="D7" t="str">
            <v>Budget Amount</v>
          </cell>
          <cell r="E7" t="str">
            <v>Budget Amount</v>
          </cell>
          <cell r="F7" t="str">
            <v>Budget Amount</v>
          </cell>
          <cell r="G7" t="str">
            <v>Budget Amount</v>
          </cell>
          <cell r="H7" t="str">
            <v>Budget Amount</v>
          </cell>
          <cell r="I7" t="str">
            <v>Budget Amount</v>
          </cell>
          <cell r="J7" t="str">
            <v>Budget Amount</v>
          </cell>
          <cell r="K7" t="str">
            <v>Budget Amount</v>
          </cell>
          <cell r="L7" t="str">
            <v>Budget Amount</v>
          </cell>
          <cell r="M7" t="str">
            <v>Budget Amount</v>
          </cell>
          <cell r="N7" t="str">
            <v>Budget Amount</v>
          </cell>
        </row>
        <row r="8">
          <cell r="A8" t="str">
            <v>Income</v>
          </cell>
          <cell r="B8" t="str">
            <v>Jan</v>
          </cell>
          <cell r="C8" t="str">
            <v>Feb</v>
          </cell>
          <cell r="D8" t="str">
            <v>March</v>
          </cell>
          <cell r="E8" t="str">
            <v>April</v>
          </cell>
          <cell r="F8" t="str">
            <v>May</v>
          </cell>
          <cell r="G8" t="str">
            <v>June</v>
          </cell>
          <cell r="H8" t="str">
            <v>July</v>
          </cell>
          <cell r="I8" t="str">
            <v>Aug</v>
          </cell>
          <cell r="J8" t="str">
            <v>Sept</v>
          </cell>
          <cell r="K8" t="str">
            <v>Oct</v>
          </cell>
          <cell r="L8" t="str">
            <v>Nov</v>
          </cell>
          <cell r="M8" t="str">
            <v>Dec</v>
          </cell>
        </row>
        <row r="9">
          <cell r="A9" t="str">
            <v>SALES OF GOODS - SALES OF GOODS</v>
          </cell>
        </row>
        <row r="10">
          <cell r="A10" t="str">
            <v>101001 - Sales - Catering</v>
          </cell>
          <cell r="B10">
            <v>0</v>
          </cell>
          <cell r="C10">
            <v>30050</v>
          </cell>
          <cell r="D10">
            <v>101000</v>
          </cell>
          <cell r="E10">
            <v>89150</v>
          </cell>
          <cell r="F10">
            <v>120350</v>
          </cell>
          <cell r="G10">
            <v>65400</v>
          </cell>
          <cell r="H10">
            <v>61150</v>
          </cell>
          <cell r="I10">
            <v>117050</v>
          </cell>
          <cell r="J10">
            <v>98850</v>
          </cell>
          <cell r="K10">
            <v>124200</v>
          </cell>
          <cell r="L10">
            <v>40900</v>
          </cell>
          <cell r="M10">
            <v>14850</v>
          </cell>
          <cell r="N10">
            <v>862950</v>
          </cell>
        </row>
        <row r="11">
          <cell r="A11" t="str">
            <v>101005 - Sales - End of Day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101050 - Under/Overs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Total - SALES OF GOODS - SALES OF GOODS</v>
          </cell>
          <cell r="B13">
            <v>0</v>
          </cell>
          <cell r="C13">
            <v>30050</v>
          </cell>
          <cell r="D13">
            <v>101000</v>
          </cell>
          <cell r="E13">
            <v>89150</v>
          </cell>
          <cell r="F13">
            <v>120350</v>
          </cell>
          <cell r="G13">
            <v>65400</v>
          </cell>
          <cell r="H13">
            <v>61150</v>
          </cell>
          <cell r="I13">
            <v>117050</v>
          </cell>
          <cell r="J13">
            <v>98850</v>
          </cell>
          <cell r="K13">
            <v>124200</v>
          </cell>
          <cell r="L13">
            <v>40900</v>
          </cell>
          <cell r="M13">
            <v>14850</v>
          </cell>
          <cell r="N13">
            <v>862950</v>
          </cell>
          <cell r="P13" t="str">
            <v>v 2: $781 300</v>
          </cell>
        </row>
        <row r="14">
          <cell r="A14" t="str">
            <v>SALES CATERING DISCOUNT - SALES CATERING DISCOUNT</v>
          </cell>
        </row>
        <row r="15">
          <cell r="A15" t="str">
            <v>102000 - Guild Member Discount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102003 - Other Promotional Discounts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- SALES CATERING DISCOUNT - SALES CATERING DISCOUNT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Total - Income</v>
          </cell>
          <cell r="B18">
            <v>0</v>
          </cell>
          <cell r="C18">
            <v>30050</v>
          </cell>
          <cell r="D18">
            <v>101000</v>
          </cell>
          <cell r="E18">
            <v>89150</v>
          </cell>
          <cell r="F18">
            <v>120350</v>
          </cell>
          <cell r="G18">
            <v>65400</v>
          </cell>
          <cell r="H18">
            <v>61150</v>
          </cell>
          <cell r="I18">
            <v>117050</v>
          </cell>
          <cell r="J18">
            <v>98850</v>
          </cell>
          <cell r="K18">
            <v>124200</v>
          </cell>
          <cell r="L18">
            <v>40900</v>
          </cell>
          <cell r="M18">
            <v>14850</v>
          </cell>
          <cell r="N18">
            <v>862950</v>
          </cell>
        </row>
        <row r="19">
          <cell r="A19" t="str">
            <v>Cost Of Sales</v>
          </cell>
          <cell r="B19">
            <v>0.34</v>
          </cell>
          <cell r="C19">
            <v>0.34</v>
          </cell>
          <cell r="D19">
            <v>0.34</v>
          </cell>
          <cell r="E19">
            <v>0.34</v>
          </cell>
          <cell r="F19">
            <v>0.34</v>
          </cell>
          <cell r="G19">
            <v>0.34</v>
          </cell>
          <cell r="H19">
            <v>0.34</v>
          </cell>
          <cell r="I19">
            <v>0.34</v>
          </cell>
          <cell r="J19">
            <v>0.34</v>
          </cell>
          <cell r="K19">
            <v>0.34</v>
          </cell>
          <cell r="L19">
            <v>0.34</v>
          </cell>
          <cell r="M19">
            <v>0.34</v>
          </cell>
        </row>
        <row r="20">
          <cell r="A20" t="str">
            <v>201070 - Cost of Goods Sold</v>
          </cell>
          <cell r="B20">
            <v>0</v>
          </cell>
          <cell r="C20">
            <v>10217</v>
          </cell>
          <cell r="D20">
            <v>34340</v>
          </cell>
          <cell r="E20">
            <v>30311.000000000004</v>
          </cell>
          <cell r="F20">
            <v>40919</v>
          </cell>
          <cell r="G20">
            <v>22236</v>
          </cell>
          <cell r="H20">
            <v>20791</v>
          </cell>
          <cell r="I20">
            <v>39797</v>
          </cell>
          <cell r="J20">
            <v>33609</v>
          </cell>
          <cell r="K20">
            <v>42228</v>
          </cell>
          <cell r="L20">
            <v>13906.000000000002</v>
          </cell>
          <cell r="M20">
            <v>5049</v>
          </cell>
          <cell r="N20">
            <v>293403</v>
          </cell>
        </row>
        <row r="21">
          <cell r="A21" t="str">
            <v>201075 - FREIGHT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201600 - Inter Department Transfers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Total - Cost Of Sales</v>
          </cell>
          <cell r="B23">
            <v>0</v>
          </cell>
          <cell r="C23">
            <v>10217</v>
          </cell>
          <cell r="D23">
            <v>34340</v>
          </cell>
          <cell r="E23">
            <v>30311.000000000004</v>
          </cell>
          <cell r="F23">
            <v>40919</v>
          </cell>
          <cell r="G23">
            <v>22236</v>
          </cell>
          <cell r="H23">
            <v>20791</v>
          </cell>
          <cell r="I23">
            <v>39797</v>
          </cell>
          <cell r="J23">
            <v>33609</v>
          </cell>
          <cell r="K23">
            <v>42228</v>
          </cell>
          <cell r="L23">
            <v>13906.000000000002</v>
          </cell>
          <cell r="M23">
            <v>5049</v>
          </cell>
          <cell r="N23">
            <v>293403</v>
          </cell>
        </row>
        <row r="24">
          <cell r="A24" t="str">
            <v>Gross Profit</v>
          </cell>
          <cell r="B24">
            <v>0</v>
          </cell>
          <cell r="C24">
            <v>19833</v>
          </cell>
          <cell r="D24">
            <v>66660</v>
          </cell>
          <cell r="E24">
            <v>58839</v>
          </cell>
          <cell r="F24">
            <v>79431</v>
          </cell>
          <cell r="G24">
            <v>43164</v>
          </cell>
          <cell r="H24">
            <v>40359</v>
          </cell>
          <cell r="I24">
            <v>77253</v>
          </cell>
          <cell r="J24">
            <v>65241</v>
          </cell>
          <cell r="K24">
            <v>81972</v>
          </cell>
          <cell r="L24">
            <v>26994</v>
          </cell>
          <cell r="M24">
            <v>9801</v>
          </cell>
          <cell r="N24">
            <v>569547</v>
          </cell>
        </row>
        <row r="25">
          <cell r="A25" t="str">
            <v>Expenses</v>
          </cell>
        </row>
        <row r="26">
          <cell r="A26" t="str">
            <v>ADMINISTRATIVE EXPENSES - ADMINISTRATIVE EXPENSES</v>
          </cell>
        </row>
        <row r="27">
          <cell r="A27" t="str">
            <v>305108 - Cleaning Contract</v>
          </cell>
          <cell r="B27">
            <v>90</v>
          </cell>
          <cell r="C27">
            <v>90</v>
          </cell>
          <cell r="D27">
            <v>90</v>
          </cell>
          <cell r="E27">
            <v>90</v>
          </cell>
          <cell r="F27">
            <v>90</v>
          </cell>
          <cell r="G27">
            <v>90</v>
          </cell>
          <cell r="H27">
            <v>90</v>
          </cell>
          <cell r="I27">
            <v>90</v>
          </cell>
          <cell r="J27">
            <v>90</v>
          </cell>
          <cell r="K27">
            <v>90</v>
          </cell>
          <cell r="L27">
            <v>90</v>
          </cell>
          <cell r="M27">
            <v>90</v>
          </cell>
          <cell r="N27">
            <v>1080</v>
          </cell>
          <cell r="O27" t="str">
            <v>Jaymak $528 x2</v>
          </cell>
        </row>
        <row r="28">
          <cell r="A28" t="str">
            <v>305109 - Cleaning Consumables</v>
          </cell>
          <cell r="B28">
            <v>150</v>
          </cell>
          <cell r="C28">
            <v>150</v>
          </cell>
          <cell r="D28">
            <v>150</v>
          </cell>
          <cell r="E28">
            <v>150</v>
          </cell>
          <cell r="F28">
            <v>150</v>
          </cell>
          <cell r="G28">
            <v>150</v>
          </cell>
          <cell r="H28">
            <v>150</v>
          </cell>
          <cell r="I28">
            <v>150</v>
          </cell>
          <cell r="J28">
            <v>150</v>
          </cell>
          <cell r="K28">
            <v>150</v>
          </cell>
          <cell r="L28">
            <v>150</v>
          </cell>
          <cell r="M28">
            <v>150</v>
          </cell>
          <cell r="N28">
            <v>1800</v>
          </cell>
        </row>
        <row r="29">
          <cell r="A29" t="str">
            <v>305111 - Communication Expenses</v>
          </cell>
          <cell r="B29">
            <v>60</v>
          </cell>
          <cell r="C29">
            <v>60</v>
          </cell>
          <cell r="D29">
            <v>60</v>
          </cell>
          <cell r="E29">
            <v>60</v>
          </cell>
          <cell r="F29">
            <v>60</v>
          </cell>
          <cell r="G29">
            <v>60</v>
          </cell>
          <cell r="H29">
            <v>60</v>
          </cell>
          <cell r="I29">
            <v>60</v>
          </cell>
          <cell r="J29">
            <v>60</v>
          </cell>
          <cell r="K29">
            <v>60</v>
          </cell>
          <cell r="L29">
            <v>60</v>
          </cell>
          <cell r="M29">
            <v>60</v>
          </cell>
          <cell r="N29">
            <v>720</v>
          </cell>
          <cell r="O29" t="str">
            <v>Mutya</v>
          </cell>
        </row>
        <row r="30">
          <cell r="A30" t="str">
            <v>305112 - Paper Products &amp; Packaging</v>
          </cell>
          <cell r="B30">
            <v>0</v>
          </cell>
          <cell r="C30">
            <v>1600</v>
          </cell>
          <cell r="D30">
            <v>1600</v>
          </cell>
          <cell r="E30">
            <v>1600</v>
          </cell>
          <cell r="F30">
            <v>1600</v>
          </cell>
          <cell r="G30">
            <v>1600</v>
          </cell>
          <cell r="H30">
            <v>1600</v>
          </cell>
          <cell r="I30">
            <v>1600</v>
          </cell>
          <cell r="J30">
            <v>1600</v>
          </cell>
          <cell r="K30">
            <v>1600</v>
          </cell>
          <cell r="L30">
            <v>1600</v>
          </cell>
          <cell r="M30">
            <v>1600</v>
          </cell>
          <cell r="N30">
            <v>17600</v>
          </cell>
        </row>
        <row r="31">
          <cell r="A31" t="str">
            <v>305114 - Computer Expenses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Mutya</v>
          </cell>
        </row>
        <row r="32">
          <cell r="A32" t="str">
            <v>305132 - Utilities</v>
          </cell>
          <cell r="B32">
            <v>0</v>
          </cell>
          <cell r="C32">
            <v>1500</v>
          </cell>
          <cell r="D32">
            <v>1500</v>
          </cell>
          <cell r="E32">
            <v>1500</v>
          </cell>
          <cell r="F32">
            <v>1500</v>
          </cell>
          <cell r="G32">
            <v>1500</v>
          </cell>
          <cell r="H32">
            <v>1500</v>
          </cell>
          <cell r="I32">
            <v>1500</v>
          </cell>
          <cell r="J32">
            <v>1500</v>
          </cell>
          <cell r="K32">
            <v>1500</v>
          </cell>
          <cell r="L32">
            <v>1500</v>
          </cell>
          <cell r="M32">
            <v>1500</v>
          </cell>
          <cell r="N32">
            <v>16500</v>
          </cell>
          <cell r="O32" t="str">
            <v>Mutya</v>
          </cell>
        </row>
        <row r="33">
          <cell r="A33" t="str">
            <v>305147 - General Expenses</v>
          </cell>
          <cell r="B33">
            <v>0</v>
          </cell>
          <cell r="C33">
            <v>60</v>
          </cell>
          <cell r="D33">
            <v>60</v>
          </cell>
          <cell r="E33">
            <v>60</v>
          </cell>
          <cell r="F33">
            <v>60</v>
          </cell>
          <cell r="G33">
            <v>60</v>
          </cell>
          <cell r="H33">
            <v>60</v>
          </cell>
          <cell r="I33">
            <v>60</v>
          </cell>
          <cell r="J33">
            <v>60</v>
          </cell>
          <cell r="K33">
            <v>60</v>
          </cell>
          <cell r="L33">
            <v>60</v>
          </cell>
          <cell r="M33">
            <v>60</v>
          </cell>
          <cell r="N33">
            <v>660</v>
          </cell>
        </row>
        <row r="34">
          <cell r="A34" t="str">
            <v>305156 - Laundry</v>
          </cell>
          <cell r="B34">
            <v>30</v>
          </cell>
          <cell r="C34">
            <v>70</v>
          </cell>
          <cell r="D34">
            <v>130</v>
          </cell>
          <cell r="E34">
            <v>130</v>
          </cell>
          <cell r="F34">
            <v>140</v>
          </cell>
          <cell r="G34">
            <v>100</v>
          </cell>
          <cell r="H34">
            <v>100</v>
          </cell>
          <cell r="I34">
            <v>120</v>
          </cell>
          <cell r="J34">
            <v>100</v>
          </cell>
          <cell r="K34">
            <v>120</v>
          </cell>
          <cell r="L34">
            <v>100</v>
          </cell>
          <cell r="M34">
            <v>80</v>
          </cell>
          <cell r="N34">
            <v>1220</v>
          </cell>
        </row>
        <row r="35">
          <cell r="A35" t="str">
            <v>305162 - Licence &amp; Permits</v>
          </cell>
          <cell r="B35">
            <v>44</v>
          </cell>
          <cell r="C35">
            <v>44</v>
          </cell>
          <cell r="D35">
            <v>44</v>
          </cell>
          <cell r="E35">
            <v>44</v>
          </cell>
          <cell r="F35">
            <v>44</v>
          </cell>
          <cell r="G35">
            <v>44</v>
          </cell>
          <cell r="H35">
            <v>44</v>
          </cell>
          <cell r="I35">
            <v>44</v>
          </cell>
          <cell r="J35">
            <v>44</v>
          </cell>
          <cell r="K35">
            <v>44</v>
          </cell>
          <cell r="L35">
            <v>44</v>
          </cell>
          <cell r="M35">
            <v>44</v>
          </cell>
          <cell r="N35">
            <v>528</v>
          </cell>
          <cell r="O35" t="str">
            <v>City of Perth $260 x 2 = $520</v>
          </cell>
        </row>
        <row r="36">
          <cell r="A36" t="str">
            <v>305168 - Occupational  Health &amp; Safety</v>
          </cell>
          <cell r="B36">
            <v>15</v>
          </cell>
          <cell r="C36">
            <v>15</v>
          </cell>
          <cell r="D36">
            <v>15</v>
          </cell>
          <cell r="E36">
            <v>15</v>
          </cell>
          <cell r="F36">
            <v>15</v>
          </cell>
          <cell r="G36">
            <v>15</v>
          </cell>
          <cell r="H36">
            <v>15</v>
          </cell>
          <cell r="I36">
            <v>15</v>
          </cell>
          <cell r="J36">
            <v>15</v>
          </cell>
          <cell r="K36">
            <v>15</v>
          </cell>
          <cell r="L36">
            <v>15</v>
          </cell>
          <cell r="M36">
            <v>15</v>
          </cell>
          <cell r="N36">
            <v>180</v>
          </cell>
          <cell r="O36" t="str">
            <v>First Aid Kit $72 x2</v>
          </cell>
        </row>
        <row r="37">
          <cell r="A37" t="str">
            <v>305180 - Printing &amp; Stationery</v>
          </cell>
          <cell r="B37">
            <v>0</v>
          </cell>
          <cell r="C37">
            <v>35</v>
          </cell>
          <cell r="D37">
            <v>35</v>
          </cell>
          <cell r="E37">
            <v>35</v>
          </cell>
          <cell r="F37">
            <v>35</v>
          </cell>
          <cell r="G37">
            <v>35</v>
          </cell>
          <cell r="H37">
            <v>35</v>
          </cell>
          <cell r="I37">
            <v>35</v>
          </cell>
          <cell r="J37">
            <v>35</v>
          </cell>
          <cell r="K37">
            <v>35</v>
          </cell>
          <cell r="L37">
            <v>35</v>
          </cell>
          <cell r="M37">
            <v>35</v>
          </cell>
          <cell r="N37">
            <v>385</v>
          </cell>
        </row>
        <row r="38">
          <cell r="A38" t="str">
            <v>305185 - Minor Assets</v>
          </cell>
          <cell r="B38">
            <v>0</v>
          </cell>
          <cell r="C38">
            <v>110</v>
          </cell>
          <cell r="D38">
            <v>110</v>
          </cell>
          <cell r="E38">
            <v>110</v>
          </cell>
          <cell r="F38">
            <v>110</v>
          </cell>
          <cell r="G38">
            <v>110</v>
          </cell>
          <cell r="H38">
            <v>110</v>
          </cell>
          <cell r="I38">
            <v>110</v>
          </cell>
          <cell r="J38">
            <v>110</v>
          </cell>
          <cell r="K38">
            <v>110</v>
          </cell>
          <cell r="L38">
            <v>110</v>
          </cell>
          <cell r="M38">
            <v>110</v>
          </cell>
          <cell r="N38">
            <v>1210</v>
          </cell>
        </row>
        <row r="39">
          <cell r="A39" t="str">
            <v>305187 - Software Digital</v>
          </cell>
          <cell r="B39">
            <v>350</v>
          </cell>
          <cell r="C39">
            <v>350</v>
          </cell>
          <cell r="D39">
            <v>350</v>
          </cell>
          <cell r="E39">
            <v>350</v>
          </cell>
          <cell r="F39">
            <v>350</v>
          </cell>
          <cell r="G39">
            <v>350</v>
          </cell>
          <cell r="H39">
            <v>350</v>
          </cell>
          <cell r="I39">
            <v>350</v>
          </cell>
          <cell r="J39">
            <v>350</v>
          </cell>
          <cell r="K39">
            <v>350</v>
          </cell>
          <cell r="L39">
            <v>350</v>
          </cell>
          <cell r="M39">
            <v>350</v>
          </cell>
          <cell r="N39">
            <v>4200</v>
          </cell>
          <cell r="O39" t="str">
            <v>Mutya</v>
          </cell>
        </row>
        <row r="40">
          <cell r="A40" t="str">
            <v>305189 - Repairs &amp; Maintenance</v>
          </cell>
          <cell r="B40">
            <v>0</v>
          </cell>
          <cell r="C40">
            <v>800</v>
          </cell>
          <cell r="D40">
            <v>450</v>
          </cell>
          <cell r="E40">
            <v>450</v>
          </cell>
          <cell r="F40">
            <v>450</v>
          </cell>
          <cell r="G40">
            <v>450</v>
          </cell>
          <cell r="H40">
            <v>450</v>
          </cell>
          <cell r="I40">
            <v>450</v>
          </cell>
          <cell r="J40">
            <v>450</v>
          </cell>
          <cell r="K40">
            <v>450</v>
          </cell>
          <cell r="L40">
            <v>450</v>
          </cell>
          <cell r="M40">
            <v>450</v>
          </cell>
          <cell r="N40">
            <v>5300</v>
          </cell>
        </row>
        <row r="41">
          <cell r="A41" t="str">
            <v>305197 - Replacement of Glass/Cutlery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305225 - Uniforms</v>
          </cell>
          <cell r="B42">
            <v>15</v>
          </cell>
          <cell r="C42">
            <v>15</v>
          </cell>
          <cell r="D42">
            <v>15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15</v>
          </cell>
          <cell r="K42">
            <v>15</v>
          </cell>
          <cell r="L42">
            <v>15</v>
          </cell>
          <cell r="M42">
            <v>15</v>
          </cell>
          <cell r="N42">
            <v>180</v>
          </cell>
        </row>
        <row r="43">
          <cell r="A43" t="str">
            <v>305228 - Waste Control</v>
          </cell>
          <cell r="B43">
            <v>0</v>
          </cell>
          <cell r="C43">
            <v>800</v>
          </cell>
          <cell r="D43">
            <v>800</v>
          </cell>
          <cell r="E43">
            <v>800</v>
          </cell>
          <cell r="F43">
            <v>800</v>
          </cell>
          <cell r="G43">
            <v>800</v>
          </cell>
          <cell r="H43">
            <v>800</v>
          </cell>
          <cell r="I43">
            <v>800</v>
          </cell>
          <cell r="J43">
            <v>800</v>
          </cell>
          <cell r="K43">
            <v>800</v>
          </cell>
          <cell r="L43">
            <v>800</v>
          </cell>
          <cell r="M43">
            <v>800</v>
          </cell>
          <cell r="N43">
            <v>8800</v>
          </cell>
        </row>
        <row r="44">
          <cell r="A44" t="str">
            <v xml:space="preserve">306001 - Depreciation - Property </v>
          </cell>
          <cell r="B44">
            <v>3</v>
          </cell>
          <cell r="C44">
            <v>3</v>
          </cell>
          <cell r="D44">
            <v>3</v>
          </cell>
          <cell r="E44">
            <v>3</v>
          </cell>
          <cell r="F44">
            <v>3</v>
          </cell>
          <cell r="G44">
            <v>3</v>
          </cell>
          <cell r="H44">
            <v>3</v>
          </cell>
          <cell r="I44">
            <v>3</v>
          </cell>
          <cell r="J44">
            <v>3</v>
          </cell>
          <cell r="K44">
            <v>3</v>
          </cell>
          <cell r="L44">
            <v>3</v>
          </cell>
          <cell r="M44">
            <v>3</v>
          </cell>
          <cell r="N44">
            <v>36</v>
          </cell>
          <cell r="O44" t="str">
            <v>Mutya</v>
          </cell>
        </row>
        <row r="45">
          <cell r="A45" t="str">
            <v>Total - ADMINISTRATIVE EXPENSES - ADMINISTRATIVE EXPENSES</v>
          </cell>
          <cell r="B45">
            <v>757</v>
          </cell>
          <cell r="C45">
            <v>5702</v>
          </cell>
          <cell r="D45">
            <v>5412</v>
          </cell>
          <cell r="E45">
            <v>5412</v>
          </cell>
          <cell r="F45">
            <v>5422</v>
          </cell>
          <cell r="G45">
            <v>5382</v>
          </cell>
          <cell r="H45">
            <v>5382</v>
          </cell>
          <cell r="I45">
            <v>5402</v>
          </cell>
          <cell r="J45">
            <v>5382</v>
          </cell>
          <cell r="K45">
            <v>5402</v>
          </cell>
          <cell r="L45">
            <v>5382</v>
          </cell>
          <cell r="M45">
            <v>5362</v>
          </cell>
          <cell r="N45">
            <v>60399</v>
          </cell>
        </row>
        <row r="46">
          <cell r="A46" t="str">
            <v>EMPLOYEE BENEFITS EXPENSE - EMPLOYEE BENEFITS EXPENSE</v>
          </cell>
          <cell r="B46" t="e">
            <v>#DIV/0!</v>
          </cell>
          <cell r="C46">
            <v>0.29950083194675542</v>
          </cell>
          <cell r="D46">
            <v>0.30792079207920792</v>
          </cell>
          <cell r="E46">
            <v>0.3129556926528323</v>
          </cell>
          <cell r="F46">
            <v>0.29995845450768593</v>
          </cell>
          <cell r="G46">
            <v>0.32415902140672781</v>
          </cell>
          <cell r="H46">
            <v>0.34995911692559278</v>
          </cell>
          <cell r="I46">
            <v>0.33660828705681334</v>
          </cell>
          <cell r="J46">
            <v>0.34699038947900862</v>
          </cell>
          <cell r="K46">
            <v>0.33977455716586152</v>
          </cell>
          <cell r="L46">
            <v>0.41564792176039123</v>
          </cell>
          <cell r="M46">
            <v>0.57239057239057234</v>
          </cell>
          <cell r="N46">
            <v>0.33512949765339822</v>
          </cell>
        </row>
        <row r="47">
          <cell r="A47" t="str">
            <v>304001 - Salaries &amp; Wages - Permanent Staff</v>
          </cell>
          <cell r="B47">
            <v>1100</v>
          </cell>
          <cell r="C47">
            <v>4500</v>
          </cell>
          <cell r="D47">
            <v>10500</v>
          </cell>
          <cell r="E47">
            <v>11000</v>
          </cell>
          <cell r="F47">
            <v>11500</v>
          </cell>
          <cell r="G47">
            <v>10000</v>
          </cell>
          <cell r="H47">
            <v>12000</v>
          </cell>
          <cell r="I47">
            <v>11400</v>
          </cell>
          <cell r="J47">
            <v>10900</v>
          </cell>
          <cell r="K47">
            <v>12000</v>
          </cell>
          <cell r="L47">
            <v>10900</v>
          </cell>
          <cell r="M47">
            <v>8300</v>
          </cell>
          <cell r="N47">
            <v>114100</v>
          </cell>
          <cell r="P47" t="str">
            <v>v 2: $113 700</v>
          </cell>
        </row>
        <row r="48">
          <cell r="A48" t="str">
            <v>304004 - Salaries &amp; Wages - Other</v>
          </cell>
          <cell r="B48">
            <v>0</v>
          </cell>
          <cell r="C48">
            <v>4500</v>
          </cell>
          <cell r="D48">
            <v>20600</v>
          </cell>
          <cell r="E48">
            <v>16900</v>
          </cell>
          <cell r="F48">
            <v>24600</v>
          </cell>
          <cell r="G48">
            <v>11200</v>
          </cell>
          <cell r="H48">
            <v>9400</v>
          </cell>
          <cell r="I48">
            <v>28000</v>
          </cell>
          <cell r="J48">
            <v>23400</v>
          </cell>
          <cell r="K48">
            <v>30200</v>
          </cell>
          <cell r="L48">
            <v>6100</v>
          </cell>
          <cell r="M48">
            <v>200</v>
          </cell>
          <cell r="N48">
            <v>175100</v>
          </cell>
          <cell r="P48" t="str">
            <v>v 2: $149 125</v>
          </cell>
        </row>
        <row r="49">
          <cell r="A49" t="str">
            <v>304010 - Superannuation</v>
          </cell>
          <cell r="B49">
            <v>141.09584513749999</v>
          </cell>
          <cell r="C49">
            <v>1107.6477755625001</v>
          </cell>
          <cell r="D49">
            <v>3775.0489763125001</v>
          </cell>
          <cell r="E49">
            <v>3403.0459513750002</v>
          </cell>
          <cell r="F49">
            <v>4374.8179264375003</v>
          </cell>
          <cell r="G49">
            <v>2602.8895012500002</v>
          </cell>
          <cell r="H49">
            <v>2647.2524015000004</v>
          </cell>
          <cell r="I49">
            <v>4762.7660314250006</v>
          </cell>
          <cell r="J49">
            <v>4156.4065563624999</v>
          </cell>
          <cell r="K49">
            <v>5099.0524015000001</v>
          </cell>
          <cell r="L49">
            <v>2117.1690563625002</v>
          </cell>
          <cell r="M49">
            <v>1088.2072860375001</v>
          </cell>
          <cell r="N49">
            <v>35275.3997092625</v>
          </cell>
          <cell r="O49" t="str">
            <v>Mutya</v>
          </cell>
        </row>
        <row r="50">
          <cell r="A50" t="str">
            <v>304013 - Workers Compensation Insurance</v>
          </cell>
          <cell r="B50">
            <v>11.655743728749998</v>
          </cell>
          <cell r="C50">
            <v>91.501337981250003</v>
          </cell>
          <cell r="D50">
            <v>311.85187195624997</v>
          </cell>
          <cell r="E50">
            <v>281.12118728749999</v>
          </cell>
          <cell r="F50">
            <v>361.39800261874996</v>
          </cell>
          <cell r="G50">
            <v>215.02130662499999</v>
          </cell>
          <cell r="H50">
            <v>218.68606794999999</v>
          </cell>
          <cell r="I50">
            <v>393.44588955249998</v>
          </cell>
          <cell r="J50">
            <v>343.35532422124999</v>
          </cell>
          <cell r="K50">
            <v>421.22606795000002</v>
          </cell>
          <cell r="L50">
            <v>174.89657422125001</v>
          </cell>
          <cell r="M50">
            <v>89.895384498750005</v>
          </cell>
          <cell r="N50">
            <v>2914.05475859125</v>
          </cell>
          <cell r="O50" t="str">
            <v>Mutya</v>
          </cell>
        </row>
        <row r="51">
          <cell r="A51" t="str">
            <v>304016 - Annual Leave Provision</v>
          </cell>
          <cell r="B51">
            <v>99.420392500000005</v>
          </cell>
          <cell r="C51">
            <v>406.7197875</v>
          </cell>
          <cell r="D51">
            <v>949.01283750000016</v>
          </cell>
          <cell r="E51">
            <v>994.20392500000014</v>
          </cell>
          <cell r="F51">
            <v>1039.3950125000001</v>
          </cell>
          <cell r="G51">
            <v>903.82175000000007</v>
          </cell>
          <cell r="H51">
            <v>1084.5861</v>
          </cell>
          <cell r="I51">
            <v>1030.3567950000001</v>
          </cell>
          <cell r="J51">
            <v>985.16570750000005</v>
          </cell>
          <cell r="K51">
            <v>1084.5861</v>
          </cell>
          <cell r="L51">
            <v>985.16570750000005</v>
          </cell>
          <cell r="M51">
            <v>750.17205250000006</v>
          </cell>
          <cell r="N51">
            <v>10312.606167500002</v>
          </cell>
          <cell r="O51" t="str">
            <v>Mutya</v>
          </cell>
        </row>
        <row r="52">
          <cell r="A52" t="str">
            <v>304019 - Long Service Leave Provision</v>
          </cell>
          <cell r="B52">
            <v>27.5</v>
          </cell>
          <cell r="C52">
            <v>225</v>
          </cell>
          <cell r="D52">
            <v>777.5</v>
          </cell>
          <cell r="E52">
            <v>697.5</v>
          </cell>
          <cell r="F52">
            <v>902.5</v>
          </cell>
          <cell r="G52">
            <v>530</v>
          </cell>
          <cell r="H52">
            <v>535</v>
          </cell>
          <cell r="I52">
            <v>985</v>
          </cell>
          <cell r="J52">
            <v>857.5</v>
          </cell>
          <cell r="K52">
            <v>1055</v>
          </cell>
          <cell r="L52">
            <v>425</v>
          </cell>
          <cell r="M52">
            <v>212.5</v>
          </cell>
          <cell r="N52">
            <v>7230</v>
          </cell>
          <cell r="O52" t="str">
            <v>Mutya</v>
          </cell>
        </row>
        <row r="53">
          <cell r="A53" t="str">
            <v>Total - EMPLOYEE BENEFITS EXPENSE - EMPLOYEE BENEFITS EXPENSE</v>
          </cell>
          <cell r="B53">
            <v>1379.6719813662498</v>
          </cell>
          <cell r="C53">
            <v>10830.86890104375</v>
          </cell>
          <cell r="D53">
            <v>36913.413685768748</v>
          </cell>
          <cell r="E53">
            <v>33275.871063662504</v>
          </cell>
          <cell r="F53">
            <v>42778.110941556246</v>
          </cell>
          <cell r="G53">
            <v>25451.732557874999</v>
          </cell>
          <cell r="H53">
            <v>25885.524569450001</v>
          </cell>
          <cell r="I53">
            <v>46571.568715977504</v>
          </cell>
          <cell r="J53">
            <v>40642.427588083745</v>
          </cell>
          <cell r="K53">
            <v>49859.864569450001</v>
          </cell>
          <cell r="L53">
            <v>20702.231338083751</v>
          </cell>
          <cell r="M53">
            <v>10640.774723036251</v>
          </cell>
          <cell r="N53">
            <v>344932.06063535373</v>
          </cell>
          <cell r="O53">
            <v>0.3997126839739889</v>
          </cell>
        </row>
        <row r="54">
          <cell r="A54" t="str">
            <v>Total - Expenses</v>
          </cell>
          <cell r="B54">
            <v>2136.6719813662498</v>
          </cell>
          <cell r="C54">
            <v>16532.868901043752</v>
          </cell>
          <cell r="D54">
            <v>42325.413685768748</v>
          </cell>
          <cell r="E54">
            <v>38687.871063662504</v>
          </cell>
          <cell r="F54">
            <v>48200.110941556246</v>
          </cell>
          <cell r="G54">
            <v>30833.732557874999</v>
          </cell>
          <cell r="H54">
            <v>31267.524569450001</v>
          </cell>
          <cell r="I54">
            <v>51973.568715977504</v>
          </cell>
          <cell r="J54">
            <v>46024.427588083745</v>
          </cell>
          <cell r="K54">
            <v>55261.864569450001</v>
          </cell>
          <cell r="L54">
            <v>26084.231338083751</v>
          </cell>
          <cell r="M54">
            <v>16002.774723036251</v>
          </cell>
          <cell r="N54">
            <v>405331.06063535373</v>
          </cell>
        </row>
        <row r="55">
          <cell r="A55" t="str">
            <v>Operating Profit</v>
          </cell>
          <cell r="B55">
            <v>-2136.6719813662498</v>
          </cell>
          <cell r="C55">
            <v>3300.131098956248</v>
          </cell>
          <cell r="D55">
            <v>24334.586314231252</v>
          </cell>
          <cell r="E55">
            <v>20151.128936337496</v>
          </cell>
          <cell r="F55">
            <v>31230.889058443754</v>
          </cell>
          <cell r="G55">
            <v>12330.267442125001</v>
          </cell>
          <cell r="H55">
            <v>9091.4754305499991</v>
          </cell>
          <cell r="I55">
            <v>25279.431284022496</v>
          </cell>
          <cell r="J55">
            <v>19216.572411916255</v>
          </cell>
          <cell r="K55">
            <v>26710.135430549999</v>
          </cell>
          <cell r="L55">
            <v>909.76866191624867</v>
          </cell>
          <cell r="M55">
            <v>-6201.7747230362511</v>
          </cell>
          <cell r="N55">
            <v>164215.93936464627</v>
          </cell>
        </row>
        <row r="56">
          <cell r="A56" t="str">
            <v>Net Profit/(Loss)</v>
          </cell>
          <cell r="B56">
            <v>-2136.6719813662498</v>
          </cell>
          <cell r="C56">
            <v>3300.131098956248</v>
          </cell>
          <cell r="D56">
            <v>24334.586314231252</v>
          </cell>
          <cell r="E56">
            <v>20151.128936337496</v>
          </cell>
          <cell r="F56">
            <v>31230.889058443754</v>
          </cell>
          <cell r="G56">
            <v>12330.267442125001</v>
          </cell>
          <cell r="H56">
            <v>9091.4754305499991</v>
          </cell>
          <cell r="I56">
            <v>25279.431284022496</v>
          </cell>
          <cell r="J56">
            <v>19216.572411916255</v>
          </cell>
          <cell r="K56">
            <v>26710.135430549999</v>
          </cell>
          <cell r="L56">
            <v>909.76866191624867</v>
          </cell>
          <cell r="M56">
            <v>-6201.7747230362511</v>
          </cell>
          <cell r="N56">
            <v>164215.93936464627</v>
          </cell>
          <cell r="P56" t="str">
            <v>v 2: $140 767</v>
          </cell>
        </row>
      </sheetData>
      <sheetData sheetId="11">
        <row r="1">
          <cell r="A1" t="str">
            <v>Guild of Undergraduates</v>
          </cell>
        </row>
        <row r="2">
          <cell r="A2" t="str">
            <v>Budget Profit and Loss</v>
          </cell>
        </row>
        <row r="3">
          <cell r="A3" t="str">
            <v>FY 2024</v>
          </cell>
        </row>
        <row r="4">
          <cell r="A4" t="str">
            <v>CATERING ADMIN</v>
          </cell>
        </row>
        <row r="5">
          <cell r="A5" t="str">
            <v/>
          </cell>
        </row>
        <row r="6">
          <cell r="A6" t="str">
            <v>Financial Row</v>
          </cell>
          <cell r="B6">
            <v>45292</v>
          </cell>
          <cell r="C6">
            <v>45323</v>
          </cell>
          <cell r="D6">
            <v>45352</v>
          </cell>
          <cell r="E6">
            <v>45383</v>
          </cell>
          <cell r="F6">
            <v>45413</v>
          </cell>
          <cell r="G6">
            <v>45444</v>
          </cell>
          <cell r="H6">
            <v>45474</v>
          </cell>
          <cell r="I6">
            <v>45505</v>
          </cell>
          <cell r="J6">
            <v>45536</v>
          </cell>
          <cell r="K6">
            <v>45566</v>
          </cell>
          <cell r="L6">
            <v>45597</v>
          </cell>
          <cell r="M6">
            <v>45627</v>
          </cell>
          <cell r="N6" t="str">
            <v>Total</v>
          </cell>
        </row>
        <row r="7">
          <cell r="A7" t="str">
            <v> </v>
          </cell>
          <cell r="B7" t="str">
            <v>Amount</v>
          </cell>
          <cell r="C7" t="str">
            <v>Amount</v>
          </cell>
          <cell r="D7" t="str">
            <v>Amount</v>
          </cell>
          <cell r="E7" t="str">
            <v>Amount</v>
          </cell>
          <cell r="F7" t="str">
            <v>Amount</v>
          </cell>
          <cell r="G7" t="str">
            <v>Amount</v>
          </cell>
          <cell r="H7" t="str">
            <v>Amount</v>
          </cell>
          <cell r="I7" t="str">
            <v>Amount</v>
          </cell>
          <cell r="J7" t="str">
            <v>Amount</v>
          </cell>
          <cell r="K7" t="str">
            <v>Amount</v>
          </cell>
          <cell r="L7" t="str">
            <v>Amount</v>
          </cell>
          <cell r="M7" t="str">
            <v>Amount</v>
          </cell>
          <cell r="N7" t="str">
            <v>Amount</v>
          </cell>
        </row>
        <row r="8">
          <cell r="A8" t="str">
            <v>Gross Profit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Expenses</v>
          </cell>
        </row>
        <row r="10">
          <cell r="A10" t="str">
            <v>ADMINISTRATIVE EXPENSES - ADMINISTRATIVE EXPENSES</v>
          </cell>
        </row>
        <row r="11">
          <cell r="A11" t="str">
            <v>305083 - Advertising &amp; Promotion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305102 - Bank Charges</v>
          </cell>
          <cell r="B12">
            <v>1000</v>
          </cell>
          <cell r="C12">
            <v>2000</v>
          </cell>
          <cell r="D12">
            <v>5000</v>
          </cell>
          <cell r="E12">
            <v>4000</v>
          </cell>
          <cell r="F12">
            <v>5000</v>
          </cell>
          <cell r="G12">
            <v>3000</v>
          </cell>
          <cell r="H12">
            <v>2000</v>
          </cell>
          <cell r="I12">
            <v>5000</v>
          </cell>
          <cell r="J12">
            <v>4000</v>
          </cell>
          <cell r="K12">
            <v>3000</v>
          </cell>
          <cell r="L12">
            <v>3000</v>
          </cell>
          <cell r="M12">
            <v>3000</v>
          </cell>
          <cell r="N12">
            <v>40000</v>
          </cell>
          <cell r="O12" t="str">
            <v>bank charge to be passed on</v>
          </cell>
        </row>
        <row r="13">
          <cell r="A13" t="str">
            <v>305108 - Cleaning Contract</v>
          </cell>
          <cell r="B13">
            <v>110</v>
          </cell>
          <cell r="C13">
            <v>110</v>
          </cell>
          <cell r="D13">
            <v>110</v>
          </cell>
          <cell r="E13">
            <v>110</v>
          </cell>
          <cell r="F13">
            <v>110</v>
          </cell>
          <cell r="G13">
            <v>110</v>
          </cell>
          <cell r="H13">
            <v>110</v>
          </cell>
          <cell r="I13">
            <v>110</v>
          </cell>
          <cell r="J13">
            <v>110</v>
          </cell>
          <cell r="K13">
            <v>110</v>
          </cell>
          <cell r="L13">
            <v>110</v>
          </cell>
          <cell r="M13">
            <v>110</v>
          </cell>
          <cell r="N13">
            <v>1320</v>
          </cell>
        </row>
        <row r="14">
          <cell r="A14" t="str">
            <v>305109 - Cleaning Consumables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305111 - Communication Expenses</v>
          </cell>
          <cell r="B15">
            <v>97</v>
          </cell>
          <cell r="C15">
            <v>97</v>
          </cell>
          <cell r="D15">
            <v>97</v>
          </cell>
          <cell r="E15">
            <v>97</v>
          </cell>
          <cell r="F15">
            <v>200</v>
          </cell>
          <cell r="G15">
            <v>300</v>
          </cell>
          <cell r="H15">
            <v>97</v>
          </cell>
          <cell r="I15">
            <v>97</v>
          </cell>
          <cell r="J15">
            <v>97</v>
          </cell>
          <cell r="K15">
            <v>97</v>
          </cell>
          <cell r="L15">
            <v>97</v>
          </cell>
          <cell r="M15">
            <v>97</v>
          </cell>
          <cell r="N15">
            <v>1470</v>
          </cell>
        </row>
        <row r="16">
          <cell r="A16" t="str">
            <v>305113 - Promotional Materials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305114 - Computer Expenses</v>
          </cell>
          <cell r="B17">
            <v>1100</v>
          </cell>
          <cell r="C17">
            <v>1100</v>
          </cell>
          <cell r="D17">
            <v>1100</v>
          </cell>
          <cell r="E17">
            <v>1100</v>
          </cell>
          <cell r="F17">
            <v>1100</v>
          </cell>
          <cell r="G17">
            <v>1100</v>
          </cell>
          <cell r="H17">
            <v>1100</v>
          </cell>
          <cell r="I17">
            <v>1100</v>
          </cell>
          <cell r="J17">
            <v>1100</v>
          </cell>
          <cell r="K17">
            <v>1100</v>
          </cell>
          <cell r="L17">
            <v>1100</v>
          </cell>
          <cell r="M17">
            <v>1100</v>
          </cell>
          <cell r="N17">
            <v>13200</v>
          </cell>
        </row>
        <row r="18">
          <cell r="A18" t="str">
            <v>305132 - Utilities</v>
          </cell>
          <cell r="B18">
            <v>100</v>
          </cell>
          <cell r="C18">
            <v>100</v>
          </cell>
          <cell r="D18">
            <v>100</v>
          </cell>
          <cell r="E18">
            <v>100</v>
          </cell>
          <cell r="F18">
            <v>100</v>
          </cell>
          <cell r="G18">
            <v>100</v>
          </cell>
          <cell r="H18">
            <v>100</v>
          </cell>
          <cell r="I18">
            <v>100</v>
          </cell>
          <cell r="J18">
            <v>100</v>
          </cell>
          <cell r="K18">
            <v>100</v>
          </cell>
          <cell r="L18">
            <v>100</v>
          </cell>
          <cell r="M18">
            <v>100</v>
          </cell>
          <cell r="N18">
            <v>1200</v>
          </cell>
        </row>
        <row r="19">
          <cell r="A19" t="str">
            <v>305147 - General Expenses</v>
          </cell>
          <cell r="B19">
            <v>100</v>
          </cell>
          <cell r="C19">
            <v>100</v>
          </cell>
          <cell r="D19">
            <v>100</v>
          </cell>
          <cell r="E19">
            <v>100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  <cell r="L19">
            <v>100</v>
          </cell>
          <cell r="M19">
            <v>100</v>
          </cell>
          <cell r="N19">
            <v>1200</v>
          </cell>
        </row>
        <row r="20">
          <cell r="A20" t="str">
            <v>305156 - Laundry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305162 - Licence &amp; Permits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305165 - Motor Vehicle Expenses</v>
          </cell>
          <cell r="B22">
            <v>100</v>
          </cell>
          <cell r="C22">
            <v>200</v>
          </cell>
          <cell r="D22">
            <v>2000</v>
          </cell>
          <cell r="E22">
            <v>200</v>
          </cell>
          <cell r="F22">
            <v>200</v>
          </cell>
          <cell r="G22">
            <v>100</v>
          </cell>
          <cell r="H22">
            <v>200</v>
          </cell>
          <cell r="I22">
            <v>200</v>
          </cell>
          <cell r="J22">
            <v>200</v>
          </cell>
          <cell r="K22">
            <v>200</v>
          </cell>
          <cell r="L22">
            <v>200</v>
          </cell>
          <cell r="M22">
            <v>0</v>
          </cell>
          <cell r="N22">
            <v>3800</v>
          </cell>
        </row>
        <row r="23">
          <cell r="A23" t="str">
            <v>305180 - Printing &amp; Stationery</v>
          </cell>
          <cell r="B23">
            <v>100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1200</v>
          </cell>
        </row>
        <row r="24">
          <cell r="A24" t="str">
            <v>305187 - Software Digital</v>
          </cell>
          <cell r="B24">
            <v>510</v>
          </cell>
          <cell r="C24">
            <v>510</v>
          </cell>
          <cell r="D24">
            <v>510</v>
          </cell>
          <cell r="E24">
            <v>510</v>
          </cell>
          <cell r="F24">
            <v>510</v>
          </cell>
          <cell r="G24">
            <v>510</v>
          </cell>
          <cell r="H24">
            <v>510</v>
          </cell>
          <cell r="I24">
            <v>510</v>
          </cell>
          <cell r="J24">
            <v>510</v>
          </cell>
          <cell r="K24">
            <v>510</v>
          </cell>
          <cell r="L24">
            <v>510</v>
          </cell>
          <cell r="M24">
            <v>510</v>
          </cell>
          <cell r="N24">
            <v>6120</v>
          </cell>
        </row>
        <row r="25">
          <cell r="A25" t="str">
            <v>305189 - Repairs &amp; Maintenance</v>
          </cell>
          <cell r="B25">
            <v>208.33</v>
          </cell>
          <cell r="C25">
            <v>208.33</v>
          </cell>
          <cell r="D25">
            <v>208.33</v>
          </cell>
          <cell r="E25">
            <v>208.33</v>
          </cell>
          <cell r="F25">
            <v>208.33</v>
          </cell>
          <cell r="G25">
            <v>208.33</v>
          </cell>
          <cell r="H25">
            <v>208.33</v>
          </cell>
          <cell r="I25">
            <v>208.33</v>
          </cell>
          <cell r="J25">
            <v>208.33</v>
          </cell>
          <cell r="K25">
            <v>208.33</v>
          </cell>
          <cell r="L25">
            <v>208.33</v>
          </cell>
          <cell r="M25">
            <v>208.37</v>
          </cell>
          <cell r="N25">
            <v>2499.9999999999995</v>
          </cell>
        </row>
        <row r="26">
          <cell r="A26" t="str">
            <v>305219 - Subscriptions</v>
          </cell>
          <cell r="B26">
            <v>0</v>
          </cell>
          <cell r="C26">
            <v>220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220</v>
          </cell>
        </row>
        <row r="27">
          <cell r="A27" t="str">
            <v>306001 - Depreciation - Plant &amp; Equipment</v>
          </cell>
          <cell r="B27">
            <v>132.5</v>
          </cell>
          <cell r="C27">
            <v>132.5</v>
          </cell>
          <cell r="D27">
            <v>132.5</v>
          </cell>
          <cell r="E27">
            <v>132.5</v>
          </cell>
          <cell r="F27">
            <v>132.5</v>
          </cell>
          <cell r="G27">
            <v>132.5</v>
          </cell>
          <cell r="H27">
            <v>132.5</v>
          </cell>
          <cell r="I27">
            <v>132.5</v>
          </cell>
          <cell r="J27">
            <v>132.5</v>
          </cell>
          <cell r="K27">
            <v>132.5</v>
          </cell>
          <cell r="L27">
            <v>132.5</v>
          </cell>
          <cell r="M27">
            <v>132.5</v>
          </cell>
          <cell r="N27">
            <v>1590</v>
          </cell>
        </row>
        <row r="28">
          <cell r="A28" t="str">
            <v>306004 - Depreciation - Computer Equipment</v>
          </cell>
          <cell r="B28">
            <v>2027.09</v>
          </cell>
          <cell r="C28">
            <v>2027.09</v>
          </cell>
          <cell r="D28">
            <v>2027.09</v>
          </cell>
          <cell r="E28">
            <v>2027.09</v>
          </cell>
          <cell r="F28">
            <v>2027.09</v>
          </cell>
          <cell r="G28">
            <v>2027.09</v>
          </cell>
          <cell r="H28">
            <v>2027.09</v>
          </cell>
          <cell r="I28">
            <v>2027.09</v>
          </cell>
          <cell r="J28">
            <v>2027.09</v>
          </cell>
          <cell r="K28">
            <v>2027.09</v>
          </cell>
          <cell r="L28">
            <v>2027.09</v>
          </cell>
          <cell r="M28">
            <v>2027.09</v>
          </cell>
          <cell r="N28">
            <v>24325.079999999998</v>
          </cell>
        </row>
        <row r="29">
          <cell r="A29" t="str">
            <v>306006 - Depreciation - Intangible Assets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Total - ADMINISTRATIVE EXPENSES - ADMINISTRATIVE EXPENSES</v>
          </cell>
          <cell r="B30">
            <v>5584.92</v>
          </cell>
          <cell r="C30">
            <v>6904.92</v>
          </cell>
          <cell r="D30">
            <v>11484.92</v>
          </cell>
          <cell r="E30">
            <v>8684.92</v>
          </cell>
          <cell r="F30">
            <v>9787.92</v>
          </cell>
          <cell r="G30">
            <v>7787.92</v>
          </cell>
          <cell r="H30">
            <v>6684.92</v>
          </cell>
          <cell r="I30">
            <v>9684.92</v>
          </cell>
          <cell r="J30">
            <v>8684.92</v>
          </cell>
          <cell r="K30">
            <v>7684.92</v>
          </cell>
          <cell r="L30">
            <v>7684.92</v>
          </cell>
          <cell r="M30">
            <v>7484.96</v>
          </cell>
          <cell r="N30">
            <v>98145.08</v>
          </cell>
        </row>
        <row r="31">
          <cell r="A31" t="str">
            <v>EMPLOYEE BENEFITS EXPENSE - EMPLOYEE BENEFITS EXPENSE</v>
          </cell>
        </row>
        <row r="32">
          <cell r="A32" t="str">
            <v>304001 - Salaries &amp; Wages - Permanent Staff</v>
          </cell>
          <cell r="B32">
            <v>13160.403968871595</v>
          </cell>
          <cell r="C32">
            <v>13853.056809338521</v>
          </cell>
          <cell r="D32">
            <v>14545.709649805447</v>
          </cell>
          <cell r="E32">
            <v>15238.362490272373</v>
          </cell>
          <cell r="F32">
            <v>15931.015330739299</v>
          </cell>
          <cell r="G32">
            <v>13853.056809338521</v>
          </cell>
          <cell r="H32">
            <v>15931.015330739299</v>
          </cell>
          <cell r="I32">
            <v>15238.362490272373</v>
          </cell>
          <cell r="J32">
            <v>14545.709649805447</v>
          </cell>
          <cell r="K32">
            <v>15931.015330739299</v>
          </cell>
          <cell r="L32">
            <v>14545.709649805447</v>
          </cell>
          <cell r="M32">
            <v>17101.177990272372</v>
          </cell>
          <cell r="N32">
            <v>179874.5955</v>
          </cell>
        </row>
        <row r="33">
          <cell r="A33" t="str">
            <v>304010 - Superannuation</v>
          </cell>
          <cell r="B33">
            <v>2715.5928004955472</v>
          </cell>
          <cell r="C33">
            <v>2858.5187373637336</v>
          </cell>
          <cell r="D33">
            <v>3001.4446742319205</v>
          </cell>
          <cell r="E33">
            <v>3144.370611100107</v>
          </cell>
          <cell r="F33">
            <v>3287.2965479682939</v>
          </cell>
          <cell r="G33">
            <v>2858.5187373637336</v>
          </cell>
          <cell r="H33">
            <v>3287.2965479682939</v>
          </cell>
          <cell r="I33">
            <v>3144.370611100107</v>
          </cell>
          <cell r="J33">
            <v>3001.4446742319205</v>
          </cell>
          <cell r="K33">
            <v>3287.2965479682939</v>
          </cell>
          <cell r="L33">
            <v>3001.4446742319205</v>
          </cell>
          <cell r="M33">
            <v>3470.3633236001069</v>
          </cell>
          <cell r="N33">
            <v>37057.958487623975</v>
          </cell>
        </row>
        <row r="34">
          <cell r="A34" t="str">
            <v>304013 - Workers Compensation Insurance</v>
          </cell>
          <cell r="B34">
            <v>139.44936002544702</v>
          </cell>
          <cell r="C34">
            <v>146.78880002678633</v>
          </cell>
          <cell r="D34">
            <v>154.12824002812565</v>
          </cell>
          <cell r="E34">
            <v>161.46768002946496</v>
          </cell>
          <cell r="F34">
            <v>168.80712003080427</v>
          </cell>
          <cell r="G34">
            <v>146.78880002678633</v>
          </cell>
          <cell r="H34">
            <v>168.80712003080427</v>
          </cell>
          <cell r="I34">
            <v>161.46768002946496</v>
          </cell>
          <cell r="J34">
            <v>154.12824002812565</v>
          </cell>
          <cell r="K34">
            <v>168.80712003080427</v>
          </cell>
          <cell r="L34">
            <v>154.12824002812565</v>
          </cell>
          <cell r="M34">
            <v>161.60768002946494</v>
          </cell>
          <cell r="N34">
            <v>1886.3760803442044</v>
          </cell>
        </row>
        <row r="35">
          <cell r="A35" t="str">
            <v>304016 - Annual Leave Provision</v>
          </cell>
          <cell r="B35">
            <v>1910.8765345852471</v>
          </cell>
          <cell r="C35">
            <v>1252.0694048265761</v>
          </cell>
          <cell r="D35">
            <v>1314.6728750679049</v>
          </cell>
          <cell r="E35">
            <v>1377.2763453092336</v>
          </cell>
          <cell r="F35">
            <v>1439.8798155505624</v>
          </cell>
          <cell r="G35">
            <v>1252.0694048265761</v>
          </cell>
          <cell r="H35">
            <v>1439.8798155505624</v>
          </cell>
          <cell r="I35">
            <v>1377.2763453092336</v>
          </cell>
          <cell r="J35">
            <v>1314.6728750679049</v>
          </cell>
          <cell r="K35">
            <v>1439.8798155505624</v>
          </cell>
          <cell r="L35">
            <v>1314.6728750679049</v>
          </cell>
          <cell r="M35">
            <v>1377.2763453092336</v>
          </cell>
          <cell r="N35">
            <v>16810.502452021501</v>
          </cell>
        </row>
        <row r="36">
          <cell r="A36" t="str">
            <v>304019 - Long Service Leave Provision</v>
          </cell>
          <cell r="B36">
            <v>821.84799922178991</v>
          </cell>
          <cell r="C36">
            <v>346.32642023346301</v>
          </cell>
          <cell r="D36">
            <v>363.64274124513616</v>
          </cell>
          <cell r="E36">
            <v>380.95906225680932</v>
          </cell>
          <cell r="F36">
            <v>398.27538326848247</v>
          </cell>
          <cell r="G36">
            <v>346.32642023346301</v>
          </cell>
          <cell r="H36">
            <v>398.27538326848247</v>
          </cell>
          <cell r="I36">
            <v>380.95906225680932</v>
          </cell>
          <cell r="J36">
            <v>363.64274124513616</v>
          </cell>
          <cell r="K36">
            <v>398.27538326848247</v>
          </cell>
          <cell r="L36">
            <v>363.64274124513616</v>
          </cell>
          <cell r="M36">
            <v>380.95906225680932</v>
          </cell>
          <cell r="N36">
            <v>4943.1323999999995</v>
          </cell>
        </row>
        <row r="37">
          <cell r="A37" t="str">
            <v>Total - EMPLOYEE BENEFITS EXPENSE - EMPLOYEE BENEFITS EXPENSE</v>
          </cell>
          <cell r="B37">
            <v>18748.170663199628</v>
          </cell>
          <cell r="C37">
            <v>18456.760171789076</v>
          </cell>
          <cell r="D37">
            <v>19379.59818037854</v>
          </cell>
          <cell r="E37">
            <v>20302.436188967989</v>
          </cell>
          <cell r="F37">
            <v>21225.274197557443</v>
          </cell>
          <cell r="G37">
            <v>18456.760171789076</v>
          </cell>
          <cell r="H37">
            <v>21225.274197557443</v>
          </cell>
          <cell r="I37">
            <v>20302.436188967989</v>
          </cell>
          <cell r="J37">
            <v>19379.59818037854</v>
          </cell>
          <cell r="K37">
            <v>21225.274197557443</v>
          </cell>
          <cell r="L37">
            <v>19379.59818037854</v>
          </cell>
          <cell r="M37">
            <v>22491.384401467989</v>
          </cell>
          <cell r="N37">
            <v>240572.56491998967</v>
          </cell>
        </row>
        <row r="38">
          <cell r="A38" t="str">
            <v>Total - Expenses</v>
          </cell>
          <cell r="B38">
            <v>24333.090663199626</v>
          </cell>
          <cell r="C38">
            <v>25361.680171789078</v>
          </cell>
          <cell r="D38">
            <v>30864.518180378538</v>
          </cell>
          <cell r="E38">
            <v>28987.356188967991</v>
          </cell>
          <cell r="F38">
            <v>31013.194197557445</v>
          </cell>
          <cell r="G38">
            <v>26244.680171789078</v>
          </cell>
          <cell r="H38">
            <v>27910.194197557445</v>
          </cell>
          <cell r="I38">
            <v>29987.356188967991</v>
          </cell>
          <cell r="J38">
            <v>28064.518180378538</v>
          </cell>
          <cell r="K38">
            <v>28910.194197557445</v>
          </cell>
          <cell r="L38">
            <v>27064.518180378538</v>
          </cell>
          <cell r="M38">
            <v>29976.344401467988</v>
          </cell>
          <cell r="N38">
            <v>338717.64491998969</v>
          </cell>
        </row>
        <row r="39">
          <cell r="A39" t="str">
            <v>Operating Profit</v>
          </cell>
          <cell r="B39">
            <v>-24333.090663199626</v>
          </cell>
          <cell r="C39">
            <v>-25361.680171789078</v>
          </cell>
          <cell r="D39">
            <v>-30864.518180378538</v>
          </cell>
          <cell r="E39">
            <v>-28987.356188967991</v>
          </cell>
          <cell r="F39">
            <v>-31013.194197557445</v>
          </cell>
          <cell r="G39">
            <v>-26244.680171789078</v>
          </cell>
          <cell r="H39">
            <v>-27910.194197557445</v>
          </cell>
          <cell r="I39">
            <v>-29987.356188967991</v>
          </cell>
          <cell r="J39">
            <v>-28064.518180378538</v>
          </cell>
          <cell r="K39">
            <v>-28910.194197557445</v>
          </cell>
          <cell r="L39">
            <v>-27064.518180378538</v>
          </cell>
          <cell r="M39">
            <v>-29976.344401467988</v>
          </cell>
          <cell r="N39">
            <v>-338717.64491998969</v>
          </cell>
        </row>
        <row r="40">
          <cell r="A40" t="str">
            <v>Net Profit/(Loss)</v>
          </cell>
          <cell r="B40">
            <v>-24333.090663199626</v>
          </cell>
          <cell r="C40">
            <v>-25361.680171789078</v>
          </cell>
          <cell r="D40">
            <v>-30864.518180378538</v>
          </cell>
          <cell r="E40">
            <v>-28987.356188967991</v>
          </cell>
          <cell r="F40">
            <v>-31013.194197557445</v>
          </cell>
          <cell r="G40">
            <v>-26244.680171789078</v>
          </cell>
          <cell r="H40">
            <v>-27910.194197557445</v>
          </cell>
          <cell r="I40">
            <v>-29987.356188967991</v>
          </cell>
          <cell r="J40">
            <v>-28064.518180378538</v>
          </cell>
          <cell r="K40">
            <v>-28910.194197557445</v>
          </cell>
          <cell r="L40">
            <v>-27064.518180378538</v>
          </cell>
          <cell r="M40">
            <v>-29976.344401467988</v>
          </cell>
          <cell r="N40">
            <v>-338717.64491998969</v>
          </cell>
        </row>
      </sheetData>
      <sheetData sheetId="12">
        <row r="1">
          <cell r="A1" t="str">
            <v>Guild of Undergraduates</v>
          </cell>
        </row>
        <row r="2">
          <cell r="A2" t="str">
            <v>Budget Profit and Loss</v>
          </cell>
        </row>
        <row r="3">
          <cell r="A3" t="str">
            <v>FY 2024</v>
          </cell>
        </row>
        <row r="4">
          <cell r="A4" t="str">
            <v>TAVERN</v>
          </cell>
        </row>
        <row r="5">
          <cell r="A5" t="str">
            <v/>
          </cell>
        </row>
        <row r="6">
          <cell r="A6" t="str">
            <v>Financial Row</v>
          </cell>
          <cell r="B6">
            <v>45292</v>
          </cell>
          <cell r="C6">
            <v>45324</v>
          </cell>
          <cell r="D6">
            <v>45356</v>
          </cell>
          <cell r="E6">
            <v>45388</v>
          </cell>
          <cell r="F6">
            <v>45420</v>
          </cell>
          <cell r="G6">
            <v>45452</v>
          </cell>
          <cell r="H6">
            <v>45484</v>
          </cell>
          <cell r="I6">
            <v>45516</v>
          </cell>
          <cell r="J6">
            <v>45548</v>
          </cell>
          <cell r="K6">
            <v>45580</v>
          </cell>
          <cell r="L6">
            <v>45612</v>
          </cell>
          <cell r="M6">
            <v>45644</v>
          </cell>
          <cell r="N6" t="str">
            <v>Total</v>
          </cell>
        </row>
        <row r="7">
          <cell r="A7" t="str">
            <v> </v>
          </cell>
          <cell r="B7" t="str">
            <v>Amount</v>
          </cell>
          <cell r="C7" t="str">
            <v>Amount</v>
          </cell>
          <cell r="D7" t="str">
            <v>Amount</v>
          </cell>
          <cell r="E7" t="str">
            <v>Amount</v>
          </cell>
          <cell r="F7" t="str">
            <v>Amount</v>
          </cell>
          <cell r="G7" t="str">
            <v>Amount</v>
          </cell>
          <cell r="H7" t="str">
            <v>Amount</v>
          </cell>
          <cell r="I7" t="str">
            <v>Amount</v>
          </cell>
          <cell r="J7" t="str">
            <v>Amount</v>
          </cell>
          <cell r="K7" t="str">
            <v>Amount</v>
          </cell>
          <cell r="L7" t="str">
            <v>Amount</v>
          </cell>
          <cell r="M7" t="str">
            <v>Amount</v>
          </cell>
          <cell r="N7" t="str">
            <v>Amount</v>
          </cell>
        </row>
        <row r="8">
          <cell r="A8" t="str">
            <v>Income</v>
          </cell>
        </row>
        <row r="9">
          <cell r="A9" t="str">
            <v>SALES CATERING DISCOUNT - SALES CATERING DISCOUNT</v>
          </cell>
        </row>
        <row r="10">
          <cell r="A10" t="str">
            <v>102000 - Guild Member Discount</v>
          </cell>
          <cell r="B10">
            <v>0</v>
          </cell>
          <cell r="C10">
            <v>-100</v>
          </cell>
          <cell r="D10">
            <v>-1250</v>
          </cell>
          <cell r="E10">
            <v>-950</v>
          </cell>
          <cell r="F10">
            <v>-1700</v>
          </cell>
          <cell r="G10">
            <v>-575</v>
          </cell>
          <cell r="H10">
            <v>-475</v>
          </cell>
          <cell r="I10">
            <v>-1800</v>
          </cell>
          <cell r="J10">
            <v>-1164.5</v>
          </cell>
          <cell r="K10">
            <v>-1550</v>
          </cell>
          <cell r="L10">
            <v>0</v>
          </cell>
          <cell r="M10">
            <v>0</v>
          </cell>
          <cell r="N10">
            <v>-9564.5</v>
          </cell>
        </row>
        <row r="11">
          <cell r="A11" t="str">
            <v>102003 - Other Promotional Discounts</v>
          </cell>
          <cell r="B11">
            <v>0</v>
          </cell>
          <cell r="C11">
            <v>-1300</v>
          </cell>
          <cell r="D11">
            <v>-6750</v>
          </cell>
          <cell r="E11">
            <v>-2400</v>
          </cell>
          <cell r="F11">
            <v>-5500</v>
          </cell>
          <cell r="G11">
            <v>-1800</v>
          </cell>
          <cell r="H11">
            <v>-1700</v>
          </cell>
          <cell r="I11">
            <v>-4000</v>
          </cell>
          <cell r="J11">
            <v>-2350</v>
          </cell>
          <cell r="K11">
            <v>-3500</v>
          </cell>
          <cell r="L11">
            <v>0</v>
          </cell>
          <cell r="M11">
            <v>0</v>
          </cell>
          <cell r="N11">
            <v>-29300</v>
          </cell>
        </row>
        <row r="12">
          <cell r="A12" t="str">
            <v>Total - SALES CATERING DISCOUNT - SALES CATERING DISCOUNT</v>
          </cell>
          <cell r="B12">
            <v>0</v>
          </cell>
          <cell r="C12">
            <v>-1400</v>
          </cell>
          <cell r="D12">
            <v>-8000</v>
          </cell>
          <cell r="E12">
            <v>-3350</v>
          </cell>
          <cell r="F12">
            <v>-7200</v>
          </cell>
          <cell r="G12">
            <v>-2375</v>
          </cell>
          <cell r="H12">
            <v>-2175</v>
          </cell>
          <cell r="I12">
            <v>-5800</v>
          </cell>
          <cell r="J12">
            <v>-3514.5</v>
          </cell>
          <cell r="K12">
            <v>-5050</v>
          </cell>
          <cell r="L12">
            <v>0</v>
          </cell>
          <cell r="M12">
            <v>0</v>
          </cell>
          <cell r="N12">
            <v>-38864.5</v>
          </cell>
        </row>
        <row r="13">
          <cell r="A13" t="str">
            <v>SALES OF GOODS - SALES OF GOODS</v>
          </cell>
        </row>
        <row r="14">
          <cell r="A14" t="str">
            <v>101001 - Sales - Catering</v>
          </cell>
          <cell r="B14">
            <v>0</v>
          </cell>
          <cell r="C14">
            <v>43000</v>
          </cell>
          <cell r="D14">
            <v>165000</v>
          </cell>
          <cell r="E14">
            <v>78000</v>
          </cell>
          <cell r="F14">
            <v>99000</v>
          </cell>
          <cell r="G14">
            <v>38000</v>
          </cell>
          <cell r="H14">
            <v>54000</v>
          </cell>
          <cell r="I14">
            <v>117000</v>
          </cell>
          <cell r="J14">
            <v>73000</v>
          </cell>
          <cell r="K14">
            <v>96000</v>
          </cell>
          <cell r="L14">
            <v>50000</v>
          </cell>
          <cell r="M14">
            <v>10000</v>
          </cell>
          <cell r="N14">
            <v>823000</v>
          </cell>
        </row>
        <row r="15">
          <cell r="A15" t="str">
            <v>Total - SALES OF GOODS - SALES OF GOODS</v>
          </cell>
          <cell r="B15">
            <v>0</v>
          </cell>
          <cell r="C15">
            <v>43000</v>
          </cell>
          <cell r="D15">
            <v>165000</v>
          </cell>
          <cell r="E15">
            <v>78000</v>
          </cell>
          <cell r="F15">
            <v>93000</v>
          </cell>
          <cell r="G15">
            <v>38000</v>
          </cell>
          <cell r="H15">
            <v>54000</v>
          </cell>
          <cell r="I15">
            <v>117000</v>
          </cell>
          <cell r="J15">
            <v>73000</v>
          </cell>
          <cell r="K15">
            <v>96000</v>
          </cell>
          <cell r="L15">
            <v>50000</v>
          </cell>
          <cell r="M15">
            <v>10000</v>
          </cell>
          <cell r="N15">
            <v>823000</v>
          </cell>
        </row>
        <row r="16">
          <cell r="A16" t="str">
            <v>Total - Income</v>
          </cell>
          <cell r="B16">
            <v>0</v>
          </cell>
          <cell r="C16">
            <v>41600</v>
          </cell>
          <cell r="D16">
            <v>157000</v>
          </cell>
          <cell r="E16">
            <v>74650</v>
          </cell>
          <cell r="F16">
            <v>85800</v>
          </cell>
          <cell r="G16">
            <v>35625</v>
          </cell>
          <cell r="H16">
            <v>51825</v>
          </cell>
          <cell r="I16">
            <v>111200</v>
          </cell>
          <cell r="J16">
            <v>69485.5</v>
          </cell>
          <cell r="K16">
            <v>90950</v>
          </cell>
          <cell r="L16">
            <v>50000</v>
          </cell>
          <cell r="M16">
            <v>10000</v>
          </cell>
          <cell r="N16">
            <v>784135.5</v>
          </cell>
        </row>
        <row r="17">
          <cell r="A17" t="str">
            <v>Cost Of Sales</v>
          </cell>
        </row>
        <row r="18">
          <cell r="A18" t="str">
            <v>201070 - Cost of Goods Sold</v>
          </cell>
          <cell r="B18">
            <v>0</v>
          </cell>
          <cell r="C18">
            <v>14559.999999999998</v>
          </cell>
          <cell r="D18">
            <v>54950</v>
          </cell>
          <cell r="E18">
            <v>26127.5</v>
          </cell>
          <cell r="F18">
            <v>30029.999999999996</v>
          </cell>
          <cell r="G18">
            <v>12468.75</v>
          </cell>
          <cell r="H18">
            <v>18138.75</v>
          </cell>
          <cell r="I18">
            <v>38920</v>
          </cell>
          <cell r="J18">
            <v>24319.924999999999</v>
          </cell>
          <cell r="K18">
            <v>31832.499999999996</v>
          </cell>
          <cell r="L18">
            <v>17500</v>
          </cell>
          <cell r="M18">
            <v>3500</v>
          </cell>
          <cell r="N18">
            <v>272347.42499999999</v>
          </cell>
        </row>
        <row r="19">
          <cell r="A19" t="str">
            <v>Total - Cost Of Sales</v>
          </cell>
          <cell r="B19">
            <v>0</v>
          </cell>
          <cell r="C19">
            <v>14559.999999999998</v>
          </cell>
          <cell r="D19">
            <v>54950</v>
          </cell>
          <cell r="E19">
            <v>26127.5</v>
          </cell>
          <cell r="F19">
            <v>30029.999999999996</v>
          </cell>
          <cell r="G19">
            <v>12468.75</v>
          </cell>
          <cell r="H19">
            <v>18138.75</v>
          </cell>
          <cell r="I19">
            <v>38920</v>
          </cell>
          <cell r="J19">
            <v>24319.924999999999</v>
          </cell>
          <cell r="K19">
            <v>31832.499999999996</v>
          </cell>
          <cell r="L19">
            <v>17500</v>
          </cell>
          <cell r="M19">
            <v>3500</v>
          </cell>
          <cell r="N19">
            <v>272347.42499999999</v>
          </cell>
          <cell r="O19">
            <v>0.34732189143330455</v>
          </cell>
        </row>
        <row r="20">
          <cell r="A20" t="str">
            <v>Gross Profit</v>
          </cell>
          <cell r="B20">
            <v>0</v>
          </cell>
          <cell r="C20">
            <v>27040</v>
          </cell>
          <cell r="D20">
            <v>102050</v>
          </cell>
          <cell r="E20">
            <v>48522.5</v>
          </cell>
          <cell r="F20">
            <v>55770</v>
          </cell>
          <cell r="G20">
            <v>23156.25</v>
          </cell>
          <cell r="H20">
            <v>33686.25</v>
          </cell>
          <cell r="I20">
            <v>72280</v>
          </cell>
          <cell r="J20">
            <v>45165.574999999997</v>
          </cell>
          <cell r="K20">
            <v>59117.5</v>
          </cell>
          <cell r="L20">
            <v>32500</v>
          </cell>
          <cell r="M20">
            <v>6500</v>
          </cell>
          <cell r="N20">
            <v>511788.07500000001</v>
          </cell>
        </row>
        <row r="21">
          <cell r="A21" t="str">
            <v>Expenses</v>
          </cell>
        </row>
        <row r="22">
          <cell r="A22" t="str">
            <v>ADMINISTRATIVE EXPENSES - ADMINISTRATIVE EXPENSES</v>
          </cell>
        </row>
        <row r="23">
          <cell r="A23" t="str">
            <v>305039 - Hire of Bands &amp; DJs</v>
          </cell>
          <cell r="B23">
            <v>0</v>
          </cell>
          <cell r="C23">
            <v>0</v>
          </cell>
          <cell r="D23">
            <v>400</v>
          </cell>
          <cell r="E23">
            <v>400</v>
          </cell>
          <cell r="F23">
            <v>400</v>
          </cell>
          <cell r="G23">
            <v>0</v>
          </cell>
          <cell r="H23">
            <v>0</v>
          </cell>
          <cell r="I23">
            <v>400</v>
          </cell>
          <cell r="J23">
            <v>400</v>
          </cell>
          <cell r="K23">
            <v>4900</v>
          </cell>
          <cell r="L23">
            <v>0</v>
          </cell>
          <cell r="M23">
            <v>0</v>
          </cell>
          <cell r="N23">
            <v>6900</v>
          </cell>
        </row>
        <row r="24">
          <cell r="A24" t="str">
            <v>305055 - Tavern Entertainment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305082 - Pool Table Expenses</v>
          </cell>
          <cell r="B25">
            <v>0</v>
          </cell>
          <cell r="C25">
            <v>150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150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300</v>
          </cell>
        </row>
        <row r="26">
          <cell r="A26" t="str">
            <v>305083 - Advertising &amp; Promotion</v>
          </cell>
          <cell r="B26">
            <v>500</v>
          </cell>
          <cell r="C26">
            <v>1000</v>
          </cell>
          <cell r="D26">
            <v>1000</v>
          </cell>
          <cell r="E26">
            <v>500</v>
          </cell>
          <cell r="F26">
            <v>1000</v>
          </cell>
          <cell r="G26">
            <v>800</v>
          </cell>
          <cell r="H26">
            <v>200</v>
          </cell>
          <cell r="I26">
            <v>1000</v>
          </cell>
          <cell r="J26">
            <v>1000</v>
          </cell>
          <cell r="K26">
            <v>1000</v>
          </cell>
          <cell r="L26">
            <v>500</v>
          </cell>
          <cell r="M26">
            <v>0</v>
          </cell>
          <cell r="N26">
            <v>8500</v>
          </cell>
        </row>
        <row r="27">
          <cell r="A27" t="str">
            <v>305102 - Bank Charges</v>
          </cell>
          <cell r="B27">
            <v>300</v>
          </cell>
          <cell r="C27">
            <v>1000</v>
          </cell>
          <cell r="D27">
            <v>1600</v>
          </cell>
          <cell r="E27">
            <v>1000</v>
          </cell>
          <cell r="F27">
            <v>1100</v>
          </cell>
          <cell r="G27">
            <v>800</v>
          </cell>
          <cell r="H27">
            <v>800</v>
          </cell>
          <cell r="I27">
            <v>1060</v>
          </cell>
          <cell r="J27">
            <v>1000</v>
          </cell>
          <cell r="K27">
            <v>1700</v>
          </cell>
          <cell r="L27">
            <v>800</v>
          </cell>
          <cell r="M27">
            <v>200</v>
          </cell>
          <cell r="N27">
            <v>11360</v>
          </cell>
        </row>
        <row r="28">
          <cell r="A28" t="str">
            <v>305108 - Cleaning Contract</v>
          </cell>
          <cell r="B28">
            <v>1245</v>
          </cell>
          <cell r="C28">
            <v>2500</v>
          </cell>
          <cell r="D28">
            <v>2500</v>
          </cell>
          <cell r="E28">
            <v>1500</v>
          </cell>
          <cell r="F28">
            <v>1600</v>
          </cell>
          <cell r="G28">
            <v>3000</v>
          </cell>
          <cell r="H28">
            <v>1500</v>
          </cell>
          <cell r="I28">
            <v>2000</v>
          </cell>
          <cell r="J28">
            <v>2250</v>
          </cell>
          <cell r="K28">
            <v>1600</v>
          </cell>
          <cell r="L28">
            <v>1600</v>
          </cell>
          <cell r="M28">
            <v>2200</v>
          </cell>
          <cell r="N28">
            <v>23495</v>
          </cell>
        </row>
        <row r="29">
          <cell r="A29" t="str">
            <v>305109 - Cleaning Consumables</v>
          </cell>
          <cell r="B29">
            <v>0</v>
          </cell>
          <cell r="C29">
            <v>100</v>
          </cell>
          <cell r="D29">
            <v>150</v>
          </cell>
          <cell r="E29">
            <v>50</v>
          </cell>
          <cell r="F29">
            <v>50</v>
          </cell>
          <cell r="G29">
            <v>150</v>
          </cell>
          <cell r="H29">
            <v>50</v>
          </cell>
          <cell r="I29">
            <v>150</v>
          </cell>
          <cell r="J29">
            <v>300</v>
          </cell>
          <cell r="K29">
            <v>150</v>
          </cell>
          <cell r="L29">
            <v>100</v>
          </cell>
          <cell r="M29">
            <v>0</v>
          </cell>
          <cell r="N29">
            <v>1250</v>
          </cell>
        </row>
        <row r="30">
          <cell r="A30" t="str">
            <v>305111 - Communication Expenses</v>
          </cell>
          <cell r="B30">
            <v>90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  <cell r="L30">
            <v>100</v>
          </cell>
          <cell r="M30">
            <v>100</v>
          </cell>
          <cell r="N30">
            <v>1190</v>
          </cell>
        </row>
        <row r="31">
          <cell r="A31" t="str">
            <v>305112 - Paper Products &amp; Packaging</v>
          </cell>
          <cell r="B31">
            <v>0</v>
          </cell>
          <cell r="C31">
            <v>500</v>
          </cell>
          <cell r="D31">
            <v>350</v>
          </cell>
          <cell r="E31">
            <v>1100</v>
          </cell>
          <cell r="F31">
            <v>1400</v>
          </cell>
          <cell r="G31">
            <v>400</v>
          </cell>
          <cell r="H31">
            <v>400</v>
          </cell>
          <cell r="I31">
            <v>1500</v>
          </cell>
          <cell r="J31">
            <v>750</v>
          </cell>
          <cell r="K31">
            <v>200</v>
          </cell>
          <cell r="L31">
            <v>300</v>
          </cell>
          <cell r="M31">
            <v>100</v>
          </cell>
          <cell r="N31">
            <v>7000</v>
          </cell>
        </row>
        <row r="32">
          <cell r="A32" t="str">
            <v>305132 - Utilities</v>
          </cell>
          <cell r="B32">
            <v>570</v>
          </cell>
          <cell r="C32">
            <v>900</v>
          </cell>
          <cell r="D32">
            <v>1050</v>
          </cell>
          <cell r="E32">
            <v>900</v>
          </cell>
          <cell r="F32">
            <v>1050</v>
          </cell>
          <cell r="G32">
            <v>950</v>
          </cell>
          <cell r="H32">
            <v>1500</v>
          </cell>
          <cell r="I32">
            <v>1500</v>
          </cell>
          <cell r="J32">
            <v>900</v>
          </cell>
          <cell r="K32">
            <v>900</v>
          </cell>
          <cell r="L32">
            <v>900</v>
          </cell>
          <cell r="M32">
            <v>950</v>
          </cell>
          <cell r="N32">
            <v>12070</v>
          </cell>
        </row>
        <row r="33">
          <cell r="A33" t="str">
            <v>305141 - Equipment Rental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305147 - General Expenses</v>
          </cell>
          <cell r="B34">
            <v>100</v>
          </cell>
          <cell r="C34">
            <v>200</v>
          </cell>
          <cell r="D34">
            <v>200</v>
          </cell>
          <cell r="E34">
            <v>100</v>
          </cell>
          <cell r="F34">
            <v>100</v>
          </cell>
          <cell r="G34">
            <v>100</v>
          </cell>
          <cell r="H34">
            <v>100</v>
          </cell>
          <cell r="I34">
            <v>100</v>
          </cell>
          <cell r="J34">
            <v>100</v>
          </cell>
          <cell r="K34">
            <v>100</v>
          </cell>
          <cell r="L34">
            <v>100</v>
          </cell>
          <cell r="M34">
            <v>100</v>
          </cell>
          <cell r="N34">
            <v>1400</v>
          </cell>
        </row>
        <row r="35">
          <cell r="A35" t="str">
            <v>305155 - Interior decoration</v>
          </cell>
          <cell r="B35">
            <v>0</v>
          </cell>
          <cell r="C35">
            <v>500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1000</v>
          </cell>
        </row>
        <row r="36">
          <cell r="A36" t="str">
            <v>305156 - Laundry</v>
          </cell>
          <cell r="B36">
            <v>270</v>
          </cell>
          <cell r="C36">
            <v>1000</v>
          </cell>
          <cell r="D36">
            <v>400</v>
          </cell>
          <cell r="E36">
            <v>150</v>
          </cell>
          <cell r="F36">
            <v>400</v>
          </cell>
          <cell r="G36">
            <v>450</v>
          </cell>
          <cell r="H36">
            <v>250</v>
          </cell>
          <cell r="I36">
            <v>400</v>
          </cell>
          <cell r="J36">
            <v>300</v>
          </cell>
          <cell r="K36">
            <v>350</v>
          </cell>
          <cell r="L36">
            <v>170</v>
          </cell>
          <cell r="M36">
            <v>500</v>
          </cell>
          <cell r="N36">
            <v>4640</v>
          </cell>
        </row>
        <row r="37">
          <cell r="A37" t="str">
            <v>305162 - Licence &amp; Permits</v>
          </cell>
          <cell r="B37">
            <v>1245</v>
          </cell>
          <cell r="C37">
            <v>2000</v>
          </cell>
          <cell r="D37">
            <v>0</v>
          </cell>
          <cell r="E37">
            <v>0</v>
          </cell>
          <cell r="F37">
            <v>250</v>
          </cell>
          <cell r="G37">
            <v>0</v>
          </cell>
          <cell r="H37">
            <v>700</v>
          </cell>
          <cell r="I37">
            <v>150</v>
          </cell>
          <cell r="J37">
            <v>0</v>
          </cell>
          <cell r="K37">
            <v>700</v>
          </cell>
          <cell r="L37">
            <v>260</v>
          </cell>
          <cell r="M37">
            <v>650</v>
          </cell>
          <cell r="N37">
            <v>5955</v>
          </cell>
        </row>
        <row r="38">
          <cell r="A38" t="str">
            <v>305168 - Occupational  Health &amp; Safety</v>
          </cell>
          <cell r="B38">
            <v>30</v>
          </cell>
          <cell r="C38">
            <v>30</v>
          </cell>
          <cell r="D38">
            <v>30</v>
          </cell>
          <cell r="E38">
            <v>30</v>
          </cell>
          <cell r="F38">
            <v>30</v>
          </cell>
          <cell r="G38">
            <v>30</v>
          </cell>
          <cell r="H38">
            <v>30</v>
          </cell>
          <cell r="I38">
            <v>30</v>
          </cell>
          <cell r="J38">
            <v>30</v>
          </cell>
          <cell r="K38">
            <v>30</v>
          </cell>
          <cell r="L38">
            <v>30</v>
          </cell>
          <cell r="M38">
            <v>30</v>
          </cell>
          <cell r="N38">
            <v>360</v>
          </cell>
        </row>
        <row r="39">
          <cell r="A39" t="str">
            <v>305180 - Printing &amp; Stationery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200</v>
          </cell>
          <cell r="H39">
            <v>200</v>
          </cell>
          <cell r="I39">
            <v>200</v>
          </cell>
          <cell r="J39">
            <v>200</v>
          </cell>
          <cell r="K39">
            <v>200</v>
          </cell>
          <cell r="L39">
            <v>200</v>
          </cell>
          <cell r="M39">
            <v>200</v>
          </cell>
          <cell r="N39">
            <v>2400</v>
          </cell>
        </row>
        <row r="40">
          <cell r="A40" t="str">
            <v>305183 - Rates and Taxes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305185 - Minor Assets</v>
          </cell>
          <cell r="B41">
            <v>0</v>
          </cell>
          <cell r="C41">
            <v>0</v>
          </cell>
          <cell r="D41">
            <v>500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500</v>
          </cell>
        </row>
        <row r="42">
          <cell r="A42" t="str">
            <v>305187 - Software Digital</v>
          </cell>
          <cell r="B42">
            <v>295</v>
          </cell>
          <cell r="C42">
            <v>295</v>
          </cell>
          <cell r="D42">
            <v>295</v>
          </cell>
          <cell r="E42">
            <v>295</v>
          </cell>
          <cell r="F42">
            <v>295</v>
          </cell>
          <cell r="G42">
            <v>295</v>
          </cell>
          <cell r="H42">
            <v>295</v>
          </cell>
          <cell r="I42">
            <v>295</v>
          </cell>
          <cell r="J42">
            <v>295</v>
          </cell>
          <cell r="K42">
            <v>295</v>
          </cell>
          <cell r="L42">
            <v>295</v>
          </cell>
          <cell r="M42">
            <v>295</v>
          </cell>
          <cell r="N42">
            <v>3540</v>
          </cell>
        </row>
        <row r="43">
          <cell r="A43" t="str">
            <v>305189 - Repairs &amp; Maintenance</v>
          </cell>
          <cell r="B43">
            <v>500</v>
          </cell>
          <cell r="C43">
            <v>500</v>
          </cell>
          <cell r="D43">
            <v>500</v>
          </cell>
          <cell r="E43">
            <v>500</v>
          </cell>
          <cell r="F43">
            <v>500</v>
          </cell>
          <cell r="G43">
            <v>500</v>
          </cell>
          <cell r="H43">
            <v>500</v>
          </cell>
          <cell r="I43">
            <v>500</v>
          </cell>
          <cell r="J43">
            <v>500</v>
          </cell>
          <cell r="K43">
            <v>500</v>
          </cell>
          <cell r="L43">
            <v>500</v>
          </cell>
          <cell r="M43">
            <v>500</v>
          </cell>
          <cell r="N43">
            <v>6000</v>
          </cell>
        </row>
        <row r="44">
          <cell r="A44" t="str">
            <v>305197 - Replacement of Glass/Cutlery</v>
          </cell>
          <cell r="B44">
            <v>0</v>
          </cell>
          <cell r="C44">
            <v>750</v>
          </cell>
          <cell r="D44">
            <v>250</v>
          </cell>
          <cell r="E44">
            <v>300</v>
          </cell>
          <cell r="F44">
            <v>0</v>
          </cell>
          <cell r="G44">
            <v>0</v>
          </cell>
          <cell r="H44">
            <v>500</v>
          </cell>
          <cell r="I44">
            <v>500</v>
          </cell>
          <cell r="J44">
            <v>500</v>
          </cell>
          <cell r="K44">
            <v>500</v>
          </cell>
          <cell r="L44">
            <v>250</v>
          </cell>
          <cell r="M44">
            <v>0</v>
          </cell>
          <cell r="N44">
            <v>3550</v>
          </cell>
        </row>
        <row r="45">
          <cell r="A45" t="str">
            <v>305201 - Security Expenses</v>
          </cell>
          <cell r="B45">
            <v>0</v>
          </cell>
          <cell r="C45">
            <v>2500</v>
          </cell>
          <cell r="D45">
            <v>9255</v>
          </cell>
          <cell r="E45">
            <v>7000</v>
          </cell>
          <cell r="F45">
            <v>5500</v>
          </cell>
          <cell r="G45">
            <v>4500</v>
          </cell>
          <cell r="H45">
            <v>1500</v>
          </cell>
          <cell r="I45">
            <v>7500</v>
          </cell>
          <cell r="J45">
            <v>7500</v>
          </cell>
          <cell r="K45">
            <v>7500</v>
          </cell>
          <cell r="L45">
            <v>4500</v>
          </cell>
          <cell r="M45">
            <v>2000</v>
          </cell>
          <cell r="N45">
            <v>59255</v>
          </cell>
        </row>
        <row r="46">
          <cell r="A46" t="str">
            <v>305204 - Security Monitoring</v>
          </cell>
          <cell r="B46">
            <v>145</v>
          </cell>
          <cell r="C46">
            <v>0</v>
          </cell>
          <cell r="D46">
            <v>0</v>
          </cell>
          <cell r="E46">
            <v>145</v>
          </cell>
          <cell r="F46">
            <v>0</v>
          </cell>
          <cell r="G46">
            <v>0</v>
          </cell>
          <cell r="H46">
            <v>145</v>
          </cell>
          <cell r="I46">
            <v>0</v>
          </cell>
          <cell r="J46">
            <v>0</v>
          </cell>
          <cell r="K46">
            <v>145</v>
          </cell>
          <cell r="L46">
            <v>0</v>
          </cell>
          <cell r="M46">
            <v>0</v>
          </cell>
          <cell r="N46">
            <v>580</v>
          </cell>
        </row>
        <row r="47">
          <cell r="A47" t="str">
            <v>305219 - Subscriptions</v>
          </cell>
          <cell r="B47">
            <v>1042</v>
          </cell>
          <cell r="C47">
            <v>3000</v>
          </cell>
          <cell r="D47">
            <v>1042</v>
          </cell>
          <cell r="E47">
            <v>1042</v>
          </cell>
          <cell r="F47">
            <v>1042</v>
          </cell>
          <cell r="G47">
            <v>1042</v>
          </cell>
          <cell r="H47">
            <v>1042</v>
          </cell>
          <cell r="I47">
            <v>1042</v>
          </cell>
          <cell r="J47">
            <v>1042</v>
          </cell>
          <cell r="K47">
            <v>1317</v>
          </cell>
          <cell r="L47">
            <v>1042</v>
          </cell>
          <cell r="M47">
            <v>1042</v>
          </cell>
          <cell r="N47">
            <v>14737</v>
          </cell>
        </row>
        <row r="48">
          <cell r="A48" t="str">
            <v>305228 - Waste Control</v>
          </cell>
          <cell r="B48">
            <v>575</v>
          </cell>
          <cell r="C48">
            <v>700</v>
          </cell>
          <cell r="D48">
            <v>775</v>
          </cell>
          <cell r="E48">
            <v>625</v>
          </cell>
          <cell r="F48">
            <v>805</v>
          </cell>
          <cell r="G48">
            <v>735</v>
          </cell>
          <cell r="H48">
            <v>750</v>
          </cell>
          <cell r="I48">
            <v>825</v>
          </cell>
          <cell r="J48">
            <v>750</v>
          </cell>
          <cell r="K48">
            <v>790</v>
          </cell>
          <cell r="L48">
            <v>500</v>
          </cell>
          <cell r="M48">
            <v>250</v>
          </cell>
          <cell r="N48">
            <v>8080</v>
          </cell>
        </row>
        <row r="49">
          <cell r="A49" t="str">
            <v>306001 - Depreciation - Plant &amp; Equipment</v>
          </cell>
          <cell r="B49">
            <v>798.42</v>
          </cell>
          <cell r="C49">
            <v>808.85</v>
          </cell>
          <cell r="D49">
            <v>808.85</v>
          </cell>
          <cell r="E49">
            <v>808.85</v>
          </cell>
          <cell r="F49">
            <v>808.85</v>
          </cell>
          <cell r="G49">
            <v>808.85</v>
          </cell>
          <cell r="H49">
            <v>808.85</v>
          </cell>
          <cell r="I49">
            <v>808.85</v>
          </cell>
          <cell r="J49">
            <v>808.85</v>
          </cell>
          <cell r="K49">
            <v>808.85</v>
          </cell>
          <cell r="L49">
            <v>808.85</v>
          </cell>
          <cell r="M49">
            <v>808.85</v>
          </cell>
          <cell r="N49">
            <v>9695.7700000000023</v>
          </cell>
        </row>
        <row r="50">
          <cell r="A50" t="str">
            <v>306003 - Depreciation - Furniture &amp; Fittings</v>
          </cell>
          <cell r="B50">
            <v>860</v>
          </cell>
          <cell r="C50">
            <v>860</v>
          </cell>
          <cell r="D50">
            <v>860</v>
          </cell>
          <cell r="E50">
            <v>860</v>
          </cell>
          <cell r="F50">
            <v>860</v>
          </cell>
          <cell r="G50">
            <v>860</v>
          </cell>
          <cell r="H50">
            <v>860</v>
          </cell>
          <cell r="I50">
            <v>860</v>
          </cell>
          <cell r="J50">
            <v>860</v>
          </cell>
          <cell r="K50">
            <v>860</v>
          </cell>
          <cell r="L50">
            <v>860</v>
          </cell>
          <cell r="M50">
            <v>860</v>
          </cell>
          <cell r="N50">
            <v>10320</v>
          </cell>
        </row>
        <row r="51">
          <cell r="A51" t="str">
            <v>306004 - Depreciation - Computer Equipment</v>
          </cell>
          <cell r="B51">
            <v>19</v>
          </cell>
          <cell r="C51">
            <v>19</v>
          </cell>
          <cell r="D51">
            <v>19</v>
          </cell>
          <cell r="E51">
            <v>19</v>
          </cell>
          <cell r="F51">
            <v>19</v>
          </cell>
          <cell r="G51">
            <v>19</v>
          </cell>
          <cell r="H51">
            <v>19</v>
          </cell>
          <cell r="I51">
            <v>19</v>
          </cell>
          <cell r="J51">
            <v>19</v>
          </cell>
          <cell r="K51">
            <v>19</v>
          </cell>
          <cell r="L51">
            <v>19</v>
          </cell>
          <cell r="M51">
            <v>19</v>
          </cell>
          <cell r="N51">
            <v>228</v>
          </cell>
        </row>
        <row r="52">
          <cell r="A52" t="str">
            <v>306005 - Depreciation - Property</v>
          </cell>
          <cell r="B52">
            <v>1100.73</v>
          </cell>
          <cell r="C52">
            <v>1100.73</v>
          </cell>
          <cell r="D52">
            <v>1100.73</v>
          </cell>
          <cell r="E52">
            <v>1100.73</v>
          </cell>
          <cell r="F52">
            <v>1100.73</v>
          </cell>
          <cell r="G52">
            <v>1100.73</v>
          </cell>
          <cell r="H52">
            <v>1100.73</v>
          </cell>
          <cell r="I52">
            <v>1100.73</v>
          </cell>
          <cell r="J52">
            <v>1100.73</v>
          </cell>
          <cell r="K52">
            <v>1100.73</v>
          </cell>
          <cell r="L52">
            <v>1100.73</v>
          </cell>
          <cell r="M52">
            <v>1100.73</v>
          </cell>
          <cell r="N52">
            <v>13208.759999999997</v>
          </cell>
        </row>
        <row r="53">
          <cell r="A53" t="str">
            <v>Total - ADMINISTRATIVE EXPENSES - ADMINISTRATIVE EXPENSES</v>
          </cell>
          <cell r="B53">
            <v>9885.15</v>
          </cell>
          <cell r="C53">
            <v>20713.579999999998</v>
          </cell>
          <cell r="D53">
            <v>23385.579999999998</v>
          </cell>
          <cell r="E53">
            <v>18725.579999999998</v>
          </cell>
          <cell r="F53">
            <v>18610.579999999998</v>
          </cell>
          <cell r="G53">
            <v>16840.580000000002</v>
          </cell>
          <cell r="H53">
            <v>13850.58</v>
          </cell>
          <cell r="I53">
            <v>22190.579999999998</v>
          </cell>
          <cell r="J53">
            <v>20705.579999999998</v>
          </cell>
          <cell r="K53">
            <v>25765.579999999998</v>
          </cell>
          <cell r="L53">
            <v>14935.58</v>
          </cell>
          <cell r="M53">
            <v>11905.58</v>
          </cell>
          <cell r="N53">
            <v>217514.53</v>
          </cell>
        </row>
        <row r="54">
          <cell r="A54" t="str">
            <v>EMPLOYEE BENEFITS EXPENSE - EMPLOYEE BENEFITS EXPENSE</v>
          </cell>
        </row>
        <row r="55">
          <cell r="A55" t="str">
            <v>304001 - Salaries &amp; Wages - Permanent Staff</v>
          </cell>
          <cell r="B55">
            <v>8694.4158949416342</v>
          </cell>
          <cell r="C55">
            <v>9152.0167315175113</v>
          </cell>
          <cell r="D55">
            <v>9609.6175680933866</v>
          </cell>
          <cell r="E55">
            <v>10067.218404669262</v>
          </cell>
          <cell r="F55">
            <v>10524.819241245137</v>
          </cell>
          <cell r="G55">
            <v>9152.0167315175113</v>
          </cell>
          <cell r="H55">
            <v>10524.819241245137</v>
          </cell>
          <cell r="I55">
            <v>10067.218404669262</v>
          </cell>
          <cell r="J55">
            <v>9609.6175680933866</v>
          </cell>
          <cell r="K55">
            <v>10524.819241245137</v>
          </cell>
          <cell r="L55">
            <v>9609.6175680933866</v>
          </cell>
          <cell r="M55">
            <v>12484.947204669261</v>
          </cell>
          <cell r="N55">
            <v>120021.14379999999</v>
          </cell>
        </row>
        <row r="56">
          <cell r="A56" t="str">
            <v>304004 - Salaries &amp; Wages - Other</v>
          </cell>
          <cell r="B56">
            <v>0</v>
          </cell>
          <cell r="C56">
            <v>2000</v>
          </cell>
          <cell r="D56">
            <v>30000</v>
          </cell>
          <cell r="E56">
            <v>11000</v>
          </cell>
          <cell r="F56">
            <v>15000</v>
          </cell>
          <cell r="G56">
            <v>2500</v>
          </cell>
          <cell r="H56">
            <v>6000</v>
          </cell>
          <cell r="I56">
            <v>19500</v>
          </cell>
          <cell r="J56">
            <v>8500</v>
          </cell>
          <cell r="K56">
            <v>15000</v>
          </cell>
          <cell r="L56">
            <v>6000</v>
          </cell>
          <cell r="M56">
            <v>900</v>
          </cell>
          <cell r="N56">
            <v>116400</v>
          </cell>
        </row>
        <row r="57">
          <cell r="A57" t="str">
            <v>304010 - Superannuation</v>
          </cell>
          <cell r="B57">
            <v>1366.7679358678067</v>
          </cell>
          <cell r="C57">
            <v>1674.4530903871648</v>
          </cell>
          <cell r="D57">
            <v>5046.8882449065231</v>
          </cell>
          <cell r="E57">
            <v>2879.1983994258817</v>
          </cell>
          <cell r="F57">
            <v>3422.6335539452393</v>
          </cell>
          <cell r="G57">
            <v>1733.3905903871648</v>
          </cell>
          <cell r="H57">
            <v>2361.7585539452393</v>
          </cell>
          <cell r="I57">
            <v>3881.1358994258817</v>
          </cell>
          <cell r="J57">
            <v>2512.5757449065231</v>
          </cell>
          <cell r="K57">
            <v>3422.6335539452393</v>
          </cell>
          <cell r="L57">
            <v>2217.8882449065231</v>
          </cell>
          <cell r="M57">
            <v>2111.7634394258816</v>
          </cell>
          <cell r="N57">
            <v>32631.087251475074</v>
          </cell>
        </row>
        <row r="58">
          <cell r="A58" t="str">
            <v>304013 - Workers Compensation Insurance</v>
          </cell>
          <cell r="B58">
            <v>92.127166856918436</v>
          </cell>
          <cell r="C58">
            <v>116.45096511254572</v>
          </cell>
          <cell r="D58">
            <v>393.94976336817302</v>
          </cell>
          <cell r="E58">
            <v>213.78606162380029</v>
          </cell>
          <cell r="F58">
            <v>257.5848598794276</v>
          </cell>
          <cell r="G58">
            <v>121.31971511254572</v>
          </cell>
          <cell r="H58">
            <v>169.94735987942758</v>
          </cell>
          <cell r="I58">
            <v>296.55481162380028</v>
          </cell>
          <cell r="J58">
            <v>184.59351336817301</v>
          </cell>
          <cell r="K58">
            <v>257.5848598794276</v>
          </cell>
          <cell r="L58">
            <v>160.24976336817301</v>
          </cell>
          <cell r="M58">
            <v>115.4373116238003</v>
          </cell>
          <cell r="N58">
            <v>2379.5861516962123</v>
          </cell>
        </row>
        <row r="59">
          <cell r="A59" t="str">
            <v>304016 - Annual Leave Provision</v>
          </cell>
          <cell r="B59">
            <v>1193.2703189393965</v>
          </cell>
          <cell r="C59">
            <v>827.17917783094367</v>
          </cell>
          <cell r="D59">
            <v>868.53813672249089</v>
          </cell>
          <cell r="E59">
            <v>909.89709561403799</v>
          </cell>
          <cell r="F59">
            <v>951.25605450558521</v>
          </cell>
          <cell r="G59">
            <v>827.17917783094367</v>
          </cell>
          <cell r="H59">
            <v>951.25605450558521</v>
          </cell>
          <cell r="I59">
            <v>909.89709561403799</v>
          </cell>
          <cell r="J59">
            <v>868.53813672249089</v>
          </cell>
          <cell r="K59">
            <v>951.25605450558521</v>
          </cell>
          <cell r="L59">
            <v>868.53813672249089</v>
          </cell>
          <cell r="M59">
            <v>909.89709561403799</v>
          </cell>
          <cell r="N59">
            <v>11036.702535127626</v>
          </cell>
        </row>
        <row r="60">
          <cell r="A60" t="str">
            <v>304019 - Long Service Leave Provision</v>
          </cell>
          <cell r="B60">
            <v>587.36539737354087</v>
          </cell>
          <cell r="C60">
            <v>278.80041828793776</v>
          </cell>
          <cell r="D60">
            <v>990.24043920233464</v>
          </cell>
          <cell r="E60">
            <v>526.68046011673152</v>
          </cell>
          <cell r="F60">
            <v>638.12048103112841</v>
          </cell>
          <cell r="G60">
            <v>291.30041828793776</v>
          </cell>
          <cell r="H60">
            <v>413.12048103112841</v>
          </cell>
          <cell r="I60">
            <v>739.18046011673152</v>
          </cell>
          <cell r="J60">
            <v>452.74043920233464</v>
          </cell>
          <cell r="K60">
            <v>638.12048103112841</v>
          </cell>
          <cell r="L60">
            <v>390.24043920233464</v>
          </cell>
          <cell r="M60">
            <v>274.18046011673152</v>
          </cell>
          <cell r="N60">
            <v>6220.0903749999998</v>
          </cell>
        </row>
        <row r="61">
          <cell r="A61" t="str">
            <v>Total - EMPLOYEE BENEFITS EXPENSE - EMPLOYEE BENEFITS EXPENSE</v>
          </cell>
          <cell r="B61">
            <v>11933.946713979298</v>
          </cell>
          <cell r="C61">
            <v>14048.900383136104</v>
          </cell>
          <cell r="D61">
            <v>46909.234152292913</v>
          </cell>
          <cell r="E61">
            <v>25596.780421449712</v>
          </cell>
          <cell r="F61">
            <v>30794.414190606523</v>
          </cell>
          <cell r="G61">
            <v>14625.206633136104</v>
          </cell>
          <cell r="H61">
            <v>20420.901690606523</v>
          </cell>
          <cell r="I61">
            <v>35393.986671449718</v>
          </cell>
          <cell r="J61">
            <v>22128.065402292912</v>
          </cell>
          <cell r="K61">
            <v>30794.414190606523</v>
          </cell>
          <cell r="L61">
            <v>19246.534152292908</v>
          </cell>
          <cell r="M61">
            <v>16796.225511449713</v>
          </cell>
          <cell r="N61">
            <v>288688.61011329887</v>
          </cell>
          <cell r="O61">
            <v>0.36816163802467672</v>
          </cell>
        </row>
        <row r="62">
          <cell r="A62" t="str">
            <v>Total - Expenses</v>
          </cell>
          <cell r="B62">
            <v>21819.096713979299</v>
          </cell>
          <cell r="C62">
            <v>34762.480383136106</v>
          </cell>
          <cell r="D62">
            <v>70294.814152292907</v>
          </cell>
          <cell r="E62">
            <v>44322.36042144971</v>
          </cell>
          <cell r="F62">
            <v>49404.994190606521</v>
          </cell>
          <cell r="G62">
            <v>31465.786633136107</v>
          </cell>
          <cell r="H62">
            <v>34271.481690606524</v>
          </cell>
          <cell r="I62">
            <v>57584.56667144972</v>
          </cell>
          <cell r="J62">
            <v>42833.64540229291</v>
          </cell>
          <cell r="K62">
            <v>56559.994190606521</v>
          </cell>
          <cell r="L62">
            <v>34182.11415229291</v>
          </cell>
          <cell r="M62">
            <v>28701.805511449711</v>
          </cell>
          <cell r="N62">
            <v>506203.1401132989</v>
          </cell>
        </row>
        <row r="63">
          <cell r="A63" t="str">
            <v>Operating Profit</v>
          </cell>
          <cell r="B63">
            <v>-21819.096713979299</v>
          </cell>
          <cell r="C63">
            <v>-7722.480383136106</v>
          </cell>
          <cell r="D63">
            <v>31755.185847707093</v>
          </cell>
          <cell r="E63">
            <v>4200.13957855029</v>
          </cell>
          <cell r="F63">
            <v>6365.0058093934786</v>
          </cell>
          <cell r="G63">
            <v>-8309.5366331361074</v>
          </cell>
          <cell r="H63">
            <v>-585.23169060652435</v>
          </cell>
          <cell r="I63">
            <v>14695.43332855028</v>
          </cell>
          <cell r="J63">
            <v>2331.9295977070869</v>
          </cell>
          <cell r="K63">
            <v>2557.5058093934786</v>
          </cell>
          <cell r="L63">
            <v>-1682.1141522929101</v>
          </cell>
          <cell r="M63">
            <v>-22201.805511449711</v>
          </cell>
          <cell r="N63">
            <v>5584.934886701114</v>
          </cell>
        </row>
        <row r="64">
          <cell r="A64" t="str">
            <v>Other Income</v>
          </cell>
          <cell r="C64">
            <v>0.33771395151769479</v>
          </cell>
          <cell r="D64">
            <v>0.2987849309063243</v>
          </cell>
          <cell r="E64">
            <v>0.34289056157333841</v>
          </cell>
          <cell r="F64">
            <v>0.3589092563007753</v>
          </cell>
          <cell r="G64">
            <v>0.41053211601785555</v>
          </cell>
          <cell r="H64">
            <v>0.39403572967885236</v>
          </cell>
          <cell r="I64">
            <v>0.31829124704541112</v>
          </cell>
          <cell r="J64">
            <v>0.31845587068227055</v>
          </cell>
          <cell r="K64">
            <v>0.33858619231013221</v>
          </cell>
          <cell r="L64">
            <v>0.38493068304585815</v>
          </cell>
          <cell r="M64">
            <v>1.6796225511449714</v>
          </cell>
          <cell r="N64">
            <v>0.36816163802467672</v>
          </cell>
        </row>
        <row r="65">
          <cell r="A65" t="str">
            <v>OTHER INCOME - OTHER INCOME</v>
          </cell>
        </row>
        <row r="66">
          <cell r="A66" t="str">
            <v>103001 - Advertising Income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103069 - Sundry Income</v>
          </cell>
          <cell r="B67">
            <v>0</v>
          </cell>
          <cell r="C67">
            <v>0</v>
          </cell>
          <cell r="D67">
            <v>500</v>
          </cell>
          <cell r="E67">
            <v>500</v>
          </cell>
          <cell r="F67">
            <v>1000</v>
          </cell>
          <cell r="G67">
            <v>0</v>
          </cell>
          <cell r="H67">
            <v>0</v>
          </cell>
          <cell r="I67">
            <v>1000</v>
          </cell>
          <cell r="J67">
            <v>500</v>
          </cell>
          <cell r="K67">
            <v>0</v>
          </cell>
          <cell r="L67">
            <v>0</v>
          </cell>
          <cell r="M67">
            <v>0</v>
          </cell>
          <cell r="N67">
            <v>3500</v>
          </cell>
        </row>
        <row r="68">
          <cell r="A68" t="str">
            <v>103075 - Sponsorship</v>
          </cell>
          <cell r="B68">
            <v>0</v>
          </cell>
          <cell r="C68">
            <v>1000</v>
          </cell>
          <cell r="D68">
            <v>1500</v>
          </cell>
          <cell r="E68">
            <v>1000</v>
          </cell>
          <cell r="F68">
            <v>1500</v>
          </cell>
          <cell r="G68">
            <v>0</v>
          </cell>
          <cell r="H68">
            <v>0</v>
          </cell>
          <cell r="I68">
            <v>1500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9500</v>
          </cell>
        </row>
        <row r="69">
          <cell r="A69" t="str">
            <v>Total - OTHER INCOME - OTHER INCOME</v>
          </cell>
          <cell r="B69">
            <v>0</v>
          </cell>
          <cell r="C69">
            <v>1000</v>
          </cell>
          <cell r="D69">
            <v>2000</v>
          </cell>
          <cell r="E69">
            <v>1500</v>
          </cell>
          <cell r="F69">
            <v>2500</v>
          </cell>
          <cell r="G69">
            <v>0</v>
          </cell>
          <cell r="H69">
            <v>0</v>
          </cell>
          <cell r="I69">
            <v>2500</v>
          </cell>
          <cell r="J69">
            <v>2000</v>
          </cell>
          <cell r="K69">
            <v>1500</v>
          </cell>
          <cell r="L69">
            <v>0</v>
          </cell>
          <cell r="M69">
            <v>0</v>
          </cell>
          <cell r="N69">
            <v>13000</v>
          </cell>
        </row>
        <row r="70">
          <cell r="A70" t="str">
            <v>REBATE INCOME - REBATE INCOME</v>
          </cell>
        </row>
        <row r="71">
          <cell r="A71" t="str">
            <v>103064 - Rebates - Catering</v>
          </cell>
          <cell r="B71">
            <v>0</v>
          </cell>
          <cell r="C71">
            <v>1900</v>
          </cell>
          <cell r="D71">
            <v>3250</v>
          </cell>
          <cell r="E71">
            <v>3725</v>
          </cell>
          <cell r="F71">
            <v>1750</v>
          </cell>
          <cell r="G71">
            <v>650</v>
          </cell>
          <cell r="H71">
            <v>750</v>
          </cell>
          <cell r="I71">
            <v>2500</v>
          </cell>
          <cell r="J71">
            <v>1700</v>
          </cell>
          <cell r="K71">
            <v>2450</v>
          </cell>
          <cell r="L71">
            <v>1300</v>
          </cell>
          <cell r="M71">
            <v>350</v>
          </cell>
          <cell r="N71">
            <v>20325</v>
          </cell>
        </row>
        <row r="72">
          <cell r="A72" t="str">
            <v>Total - REBATE INCOME - REBATE INCOME</v>
          </cell>
          <cell r="B72">
            <v>0</v>
          </cell>
          <cell r="C72">
            <v>1900</v>
          </cell>
          <cell r="D72">
            <v>3250</v>
          </cell>
          <cell r="E72">
            <v>3725</v>
          </cell>
          <cell r="F72">
            <v>1750</v>
          </cell>
          <cell r="G72">
            <v>650</v>
          </cell>
          <cell r="H72">
            <v>750</v>
          </cell>
          <cell r="I72">
            <v>2500</v>
          </cell>
          <cell r="J72">
            <v>1700</v>
          </cell>
          <cell r="K72">
            <v>2450</v>
          </cell>
          <cell r="L72">
            <v>1300</v>
          </cell>
          <cell r="M72">
            <v>350</v>
          </cell>
          <cell r="N72">
            <v>20325</v>
          </cell>
        </row>
        <row r="73">
          <cell r="A73" t="str">
            <v>RENTAL - PROPERTY &amp; EQUIPMENT INCOME - RENTAL - PROPERTY &amp; EQUIPMENT INCOME</v>
          </cell>
        </row>
        <row r="74">
          <cell r="A74" t="str">
            <v>103070 - Venue Hire</v>
          </cell>
          <cell r="B74">
            <v>0</v>
          </cell>
          <cell r="C74">
            <v>1500</v>
          </cell>
          <cell r="D74">
            <v>1800</v>
          </cell>
          <cell r="E74">
            <v>2500</v>
          </cell>
          <cell r="F74">
            <v>2500</v>
          </cell>
          <cell r="G74">
            <v>0</v>
          </cell>
          <cell r="H74">
            <v>1200</v>
          </cell>
          <cell r="I74">
            <v>1400</v>
          </cell>
          <cell r="J74">
            <v>1200</v>
          </cell>
          <cell r="K74">
            <v>1600</v>
          </cell>
          <cell r="L74">
            <v>1900</v>
          </cell>
          <cell r="M74">
            <v>500</v>
          </cell>
          <cell r="N74">
            <v>16100</v>
          </cell>
        </row>
        <row r="75">
          <cell r="A75" t="str">
            <v>103082 - Pool Table Income</v>
          </cell>
          <cell r="B75">
            <v>0</v>
          </cell>
          <cell r="C75">
            <v>0</v>
          </cell>
          <cell r="D75">
            <v>300</v>
          </cell>
          <cell r="E75">
            <v>300</v>
          </cell>
          <cell r="F75">
            <v>300</v>
          </cell>
          <cell r="G75">
            <v>200</v>
          </cell>
          <cell r="H75">
            <v>100</v>
          </cell>
          <cell r="I75">
            <v>300</v>
          </cell>
          <cell r="J75">
            <v>300</v>
          </cell>
          <cell r="K75">
            <v>300</v>
          </cell>
          <cell r="L75">
            <v>100</v>
          </cell>
          <cell r="M75">
            <v>0</v>
          </cell>
          <cell r="N75">
            <v>2200</v>
          </cell>
        </row>
        <row r="76">
          <cell r="A76" t="str">
            <v>Total - RENTAL - PROPERTY &amp; EQUIPMENT INCOME - RENTAL - PROPERTY &amp; EQUIPMENT INCOME</v>
          </cell>
          <cell r="B76">
            <v>0</v>
          </cell>
          <cell r="C76">
            <v>1500</v>
          </cell>
          <cell r="D76">
            <v>2100</v>
          </cell>
          <cell r="E76">
            <v>2800</v>
          </cell>
          <cell r="F76">
            <v>2800</v>
          </cell>
          <cell r="G76">
            <v>200</v>
          </cell>
          <cell r="H76">
            <v>1300</v>
          </cell>
          <cell r="I76">
            <v>1700</v>
          </cell>
          <cell r="J76">
            <v>1500</v>
          </cell>
          <cell r="K76">
            <v>1900</v>
          </cell>
          <cell r="L76">
            <v>2000</v>
          </cell>
          <cell r="M76">
            <v>500</v>
          </cell>
          <cell r="N76">
            <v>18300</v>
          </cell>
        </row>
        <row r="77">
          <cell r="A77" t="str">
            <v>Total - Other Income</v>
          </cell>
          <cell r="B77">
            <v>0</v>
          </cell>
          <cell r="C77">
            <v>4400</v>
          </cell>
          <cell r="D77">
            <v>7350</v>
          </cell>
          <cell r="E77">
            <v>8025</v>
          </cell>
          <cell r="F77">
            <v>7050</v>
          </cell>
          <cell r="G77">
            <v>850</v>
          </cell>
          <cell r="H77">
            <v>2050</v>
          </cell>
          <cell r="I77">
            <v>6700</v>
          </cell>
          <cell r="J77">
            <v>5200</v>
          </cell>
          <cell r="K77">
            <v>5850</v>
          </cell>
          <cell r="L77">
            <v>3300</v>
          </cell>
          <cell r="M77">
            <v>850</v>
          </cell>
          <cell r="N77">
            <v>51625</v>
          </cell>
        </row>
        <row r="78">
          <cell r="A78" t="str">
            <v>Net Profit/(Loss)</v>
          </cell>
          <cell r="B78">
            <v>-21819.096713979299</v>
          </cell>
          <cell r="C78">
            <v>-3322.480383136106</v>
          </cell>
          <cell r="D78">
            <v>39105.185847707093</v>
          </cell>
          <cell r="E78">
            <v>12225.13957855029</v>
          </cell>
          <cell r="F78">
            <v>13415.005809393479</v>
          </cell>
          <cell r="G78">
            <v>-7459.5366331361074</v>
          </cell>
          <cell r="H78">
            <v>1464.7683093934756</v>
          </cell>
          <cell r="I78">
            <v>21395.43332855028</v>
          </cell>
          <cell r="J78">
            <v>7531.9295977070869</v>
          </cell>
          <cell r="K78">
            <v>8407.5058093934786</v>
          </cell>
          <cell r="L78">
            <v>1617.8858477070899</v>
          </cell>
          <cell r="M78">
            <v>-21351.805511449711</v>
          </cell>
          <cell r="N78">
            <v>57209.934886701114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074F-FF0A-0D47-90B8-D9278C3572EB}">
  <sheetPr codeName="Sheet1">
    <pageSetUpPr fitToPage="1"/>
  </sheetPr>
  <dimension ref="A1:BV119"/>
  <sheetViews>
    <sheetView showGridLines="0" view="pageBreakPreview" topLeftCell="J1" zoomScale="94" zoomScaleNormal="80" zoomScaleSheetLayoutView="94" workbookViewId="0">
      <pane ySplit="6" topLeftCell="A41" activePane="bottomLeft" state="frozen"/>
      <selection activeCell="Q23" sqref="Q23"/>
      <selection pane="bottomLeft" activeCell="E26" sqref="E26:E27"/>
    </sheetView>
  </sheetViews>
  <sheetFormatPr defaultColWidth="8.875" defaultRowHeight="15" x14ac:dyDescent="0.25"/>
  <cols>
    <col min="1" max="1" width="24.875" style="19" hidden="1" customWidth="1"/>
    <col min="2" max="2" width="33.125" style="19" hidden="1" customWidth="1"/>
    <col min="3" max="3" width="40.5" style="10" customWidth="1"/>
    <col min="4" max="12" width="14.625" style="22" customWidth="1"/>
    <col min="13" max="13" width="15.125" style="10" hidden="1" customWidth="1"/>
    <col min="14" max="14" width="15.125" style="13" hidden="1" customWidth="1"/>
    <col min="15" max="22" width="13.375" style="7" customWidth="1"/>
    <col min="23" max="27" width="13.375" style="8" customWidth="1"/>
    <col min="28" max="28" width="15.5" style="135" customWidth="1"/>
    <col min="29" max="30" width="11.5" style="135" customWidth="1"/>
    <col min="31" max="31" width="12.125" style="135" customWidth="1"/>
    <col min="32" max="39" width="19.875" style="135" customWidth="1"/>
    <col min="40" max="42" width="8.875" style="135" customWidth="1"/>
    <col min="43" max="43" width="11.5" style="135" customWidth="1"/>
    <col min="44" max="44" width="10.5" style="135" customWidth="1"/>
    <col min="45" max="68" width="8.875" style="135" customWidth="1"/>
    <col min="69" max="70" width="8.875" style="135"/>
    <col min="71" max="16384" width="8.875" style="102"/>
  </cols>
  <sheetData>
    <row r="1" spans="1:42" s="8" customFormat="1" x14ac:dyDescent="0.25">
      <c r="A1" s="1"/>
      <c r="B1" s="2"/>
      <c r="C1" s="4" t="s">
        <v>0</v>
      </c>
      <c r="D1" s="5"/>
      <c r="E1" s="5"/>
      <c r="F1" s="5"/>
      <c r="G1" s="5"/>
      <c r="H1" s="5"/>
      <c r="I1" s="5"/>
      <c r="J1" s="5"/>
      <c r="K1" s="5"/>
      <c r="L1" s="5"/>
      <c r="M1" s="3"/>
      <c r="N1" s="6"/>
      <c r="O1" s="7"/>
      <c r="P1" s="7"/>
      <c r="Q1" s="7"/>
      <c r="R1" s="7"/>
      <c r="S1" s="7"/>
      <c r="T1" s="7"/>
      <c r="U1" s="7"/>
      <c r="V1" s="7"/>
    </row>
    <row r="2" spans="1:42" s="8" customFormat="1" x14ac:dyDescent="0.25">
      <c r="A2" s="9"/>
      <c r="B2" s="7"/>
      <c r="C2" s="11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7"/>
      <c r="P2" s="7"/>
      <c r="Q2" s="7"/>
      <c r="R2" s="7"/>
      <c r="S2" s="7"/>
      <c r="T2" s="7"/>
      <c r="U2" s="7"/>
      <c r="V2" s="7"/>
    </row>
    <row r="3" spans="1:42" s="8" customFormat="1" x14ac:dyDescent="0.25">
      <c r="A3" s="9"/>
      <c r="B3" s="7"/>
      <c r="C3" s="11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3"/>
      <c r="O3" s="7"/>
      <c r="P3" s="7"/>
      <c r="Q3" s="7"/>
      <c r="R3" s="7"/>
      <c r="S3" s="7"/>
      <c r="T3" s="7"/>
      <c r="U3" s="7"/>
      <c r="V3" s="7"/>
    </row>
    <row r="4" spans="1:42" s="8" customFormat="1" ht="13.5" customHeight="1" x14ac:dyDescent="0.25">
      <c r="A4" s="9"/>
      <c r="B4" s="7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7"/>
      <c r="P4" s="7"/>
      <c r="Q4" s="7"/>
      <c r="R4" s="7"/>
      <c r="S4" s="7"/>
      <c r="T4" s="7"/>
      <c r="U4" s="7"/>
      <c r="V4" s="7"/>
    </row>
    <row r="5" spans="1:42" s="8" customFormat="1" x14ac:dyDescent="0.25">
      <c r="A5" s="9"/>
      <c r="B5" s="7"/>
      <c r="C5" s="14" t="s">
        <v>3</v>
      </c>
      <c r="D5" s="14" t="s">
        <v>4</v>
      </c>
      <c r="E5" s="14" t="s">
        <v>5</v>
      </c>
      <c r="F5" s="271" t="s">
        <v>6</v>
      </c>
      <c r="G5" s="14" t="s">
        <v>7</v>
      </c>
      <c r="H5" s="271" t="s">
        <v>8</v>
      </c>
      <c r="I5" s="14" t="s">
        <v>9</v>
      </c>
      <c r="J5" s="271" t="s">
        <v>10</v>
      </c>
      <c r="K5" s="14" t="s">
        <v>11</v>
      </c>
      <c r="L5" s="271" t="s">
        <v>12</v>
      </c>
      <c r="M5" s="14" t="s">
        <v>13</v>
      </c>
      <c r="N5" s="221" t="s">
        <v>14</v>
      </c>
      <c r="O5" s="7"/>
      <c r="P5" s="7"/>
      <c r="Q5" s="7"/>
      <c r="R5" s="7"/>
      <c r="S5" s="7"/>
      <c r="T5" s="7"/>
      <c r="U5" s="7"/>
      <c r="V5" s="7"/>
    </row>
    <row r="6" spans="1:42" s="8" customFormat="1" x14ac:dyDescent="0.25">
      <c r="A6" s="16" t="s">
        <v>15</v>
      </c>
      <c r="B6" s="17"/>
      <c r="C6" s="14"/>
      <c r="D6" s="14" t="s">
        <v>16</v>
      </c>
      <c r="E6" s="14" t="s">
        <v>16</v>
      </c>
      <c r="F6" s="14" t="s">
        <v>17</v>
      </c>
      <c r="G6" s="14" t="s">
        <v>16</v>
      </c>
      <c r="H6" s="14" t="s">
        <v>18</v>
      </c>
      <c r="I6" s="14" t="s">
        <v>16</v>
      </c>
      <c r="J6" s="14" t="s">
        <v>18</v>
      </c>
      <c r="K6" s="14" t="s">
        <v>16</v>
      </c>
      <c r="L6" s="14" t="s">
        <v>18</v>
      </c>
      <c r="M6" s="14" t="s">
        <v>16</v>
      </c>
      <c r="N6" s="15" t="s">
        <v>18</v>
      </c>
      <c r="O6" s="7"/>
      <c r="P6" s="7"/>
      <c r="Q6" s="7"/>
      <c r="R6" s="7"/>
      <c r="S6" s="7"/>
      <c r="T6" s="7"/>
      <c r="U6" s="7"/>
      <c r="V6" s="7"/>
    </row>
    <row r="7" spans="1:42" s="24" customFormat="1" x14ac:dyDescent="0.25">
      <c r="A7" s="18"/>
      <c r="B7" s="19"/>
      <c r="C7" s="21" t="s">
        <v>19</v>
      </c>
      <c r="D7" s="22"/>
      <c r="E7" s="22"/>
      <c r="F7" s="22"/>
      <c r="G7" s="22"/>
      <c r="H7" s="22"/>
      <c r="I7" s="22"/>
      <c r="J7" s="22"/>
      <c r="K7" s="22"/>
      <c r="L7" s="22"/>
      <c r="M7" s="10"/>
      <c r="N7" s="23"/>
      <c r="O7" s="19"/>
      <c r="P7" s="19"/>
      <c r="Q7" s="19"/>
      <c r="R7" s="19"/>
      <c r="S7" s="19"/>
      <c r="T7" s="19"/>
      <c r="U7" s="19"/>
      <c r="V7" s="19"/>
    </row>
    <row r="8" spans="1:42" s="24" customFormat="1" ht="14.45" customHeight="1" x14ac:dyDescent="0.25">
      <c r="A8" s="18" t="s">
        <v>20</v>
      </c>
      <c r="B8" s="25" t="s">
        <v>21</v>
      </c>
      <c r="C8" s="10" t="s">
        <v>22</v>
      </c>
      <c r="D8" s="26">
        <f>VLOOKUP(A8,INV!A:N,14,FALSE)</f>
        <v>3549600</v>
      </c>
      <c r="E8" s="26">
        <v>3200000</v>
      </c>
      <c r="F8" s="26">
        <v>3350000</v>
      </c>
      <c r="G8" s="26">
        <v>2880000</v>
      </c>
      <c r="H8" s="26">
        <v>3171103</v>
      </c>
      <c r="I8" s="26">
        <v>2784000</v>
      </c>
      <c r="J8" s="26">
        <v>2946622</v>
      </c>
      <c r="K8" s="26">
        <v>2738159.4000000004</v>
      </c>
      <c r="L8" s="26">
        <v>2790912</v>
      </c>
      <c r="M8" s="29">
        <v>2684470</v>
      </c>
      <c r="N8" s="26">
        <v>2819652.96</v>
      </c>
      <c r="O8" s="31"/>
      <c r="P8" s="31"/>
      <c r="Q8" s="31"/>
      <c r="R8" s="31"/>
      <c r="S8" s="31"/>
      <c r="T8" s="31"/>
      <c r="U8" s="31"/>
      <c r="V8" s="31"/>
      <c r="W8" s="32"/>
      <c r="X8" s="32"/>
      <c r="Y8" s="32"/>
      <c r="Z8" s="32"/>
      <c r="AA8" s="32"/>
    </row>
    <row r="9" spans="1:42" s="24" customFormat="1" ht="14.45" hidden="1" customHeight="1" x14ac:dyDescent="0.25">
      <c r="A9" s="33" t="s">
        <v>23</v>
      </c>
      <c r="B9" s="34" t="s">
        <v>21</v>
      </c>
      <c r="C9" s="10"/>
      <c r="D9" s="26"/>
      <c r="E9" s="26"/>
      <c r="F9" s="26"/>
      <c r="G9" s="26"/>
      <c r="H9" s="26"/>
      <c r="I9" s="26"/>
      <c r="J9" s="26"/>
      <c r="K9" s="26"/>
      <c r="L9" s="26"/>
      <c r="M9" s="29"/>
      <c r="N9" s="26"/>
      <c r="O9" s="31"/>
      <c r="P9" s="31"/>
      <c r="Q9" s="31"/>
      <c r="R9" s="31"/>
      <c r="S9" s="31"/>
      <c r="T9" s="31"/>
      <c r="U9" s="31"/>
      <c r="V9" s="31"/>
      <c r="W9" s="32"/>
      <c r="X9" s="32"/>
      <c r="Y9" s="32"/>
      <c r="Z9" s="32"/>
      <c r="AA9" s="32"/>
    </row>
    <row r="10" spans="1:42" s="24" customFormat="1" ht="14.45" hidden="1" customHeight="1" x14ac:dyDescent="0.25">
      <c r="A10" s="35" t="s">
        <v>24</v>
      </c>
      <c r="B10" s="36" t="s">
        <v>21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9"/>
      <c r="N10" s="26"/>
      <c r="O10" s="31"/>
      <c r="P10" s="31"/>
      <c r="Q10" s="31"/>
      <c r="R10" s="31"/>
      <c r="S10" s="31"/>
      <c r="T10" s="31"/>
      <c r="U10" s="31"/>
      <c r="V10" s="31"/>
      <c r="W10" s="32"/>
      <c r="X10" s="32"/>
      <c r="Y10" s="32"/>
      <c r="Z10" s="32"/>
      <c r="AA10" s="32"/>
    </row>
    <row r="11" spans="1:42" s="24" customFormat="1" ht="14.45" hidden="1" customHeight="1" x14ac:dyDescent="0.25">
      <c r="A11" s="38" t="s">
        <v>25</v>
      </c>
      <c r="B11" s="39" t="s">
        <v>21</v>
      </c>
      <c r="C11" s="10"/>
      <c r="D11" s="26"/>
      <c r="E11" s="26"/>
      <c r="F11" s="26"/>
      <c r="G11" s="26"/>
      <c r="H11" s="26"/>
      <c r="I11" s="26"/>
      <c r="J11" s="26"/>
      <c r="K11" s="26"/>
      <c r="L11" s="26"/>
      <c r="M11" s="29"/>
      <c r="N11" s="26"/>
      <c r="O11" s="31"/>
      <c r="P11" s="31"/>
      <c r="Q11" s="31"/>
      <c r="R11" s="31"/>
      <c r="S11" s="31"/>
      <c r="T11" s="31"/>
      <c r="U11" s="31"/>
      <c r="V11" s="31"/>
      <c r="W11" s="32"/>
      <c r="X11" s="32"/>
      <c r="Y11" s="32"/>
      <c r="Z11" s="32"/>
      <c r="AA11" s="32"/>
    </row>
    <row r="12" spans="1:42" s="24" customFormat="1" x14ac:dyDescent="0.25">
      <c r="A12" s="18" t="s">
        <v>23</v>
      </c>
      <c r="B12" s="25" t="s">
        <v>21</v>
      </c>
      <c r="C12" s="10" t="s">
        <v>26</v>
      </c>
      <c r="D12" s="26">
        <f>VLOOKUP(A12,INV!A:N,14,FALSE)</f>
        <v>3000</v>
      </c>
      <c r="E12" s="26">
        <v>3000</v>
      </c>
      <c r="F12" s="26">
        <v>3350</v>
      </c>
      <c r="G12" s="26">
        <v>3000</v>
      </c>
      <c r="H12" s="26">
        <v>1909.11</v>
      </c>
      <c r="I12" s="26">
        <v>9500</v>
      </c>
      <c r="J12" s="26">
        <v>1722</v>
      </c>
      <c r="K12" s="26">
        <v>9500</v>
      </c>
      <c r="L12" s="26">
        <v>3311</v>
      </c>
      <c r="M12" s="29">
        <v>9500</v>
      </c>
      <c r="N12" s="26">
        <f>-92.07+6417.54</f>
        <v>6325.47</v>
      </c>
      <c r="O12" s="31"/>
      <c r="P12" s="31"/>
      <c r="Q12" s="31"/>
      <c r="R12" s="31"/>
      <c r="S12" s="31"/>
      <c r="T12" s="31"/>
      <c r="U12" s="31"/>
      <c r="V12" s="31"/>
      <c r="W12" s="32"/>
      <c r="X12" s="32"/>
      <c r="Y12" s="32"/>
      <c r="Z12" s="32"/>
      <c r="AA12" s="32"/>
    </row>
    <row r="13" spans="1:42" s="24" customFormat="1" ht="14.45" customHeight="1" x14ac:dyDescent="0.25">
      <c r="A13" s="18"/>
      <c r="B13" s="19"/>
      <c r="C13" s="40" t="s">
        <v>27</v>
      </c>
      <c r="D13" s="26"/>
      <c r="E13" s="26"/>
      <c r="F13" s="26"/>
      <c r="G13" s="26"/>
      <c r="H13" s="26"/>
      <c r="I13" s="26"/>
      <c r="J13" s="26"/>
      <c r="K13" s="26"/>
      <c r="L13" s="26"/>
      <c r="M13" s="41"/>
      <c r="N13" s="41"/>
      <c r="O13" s="31"/>
      <c r="P13" s="31"/>
      <c r="Q13" s="31" t="s">
        <v>28</v>
      </c>
      <c r="R13" s="31"/>
      <c r="S13" s="31"/>
      <c r="T13" s="31"/>
      <c r="U13" s="31"/>
      <c r="V13" s="31"/>
      <c r="W13" s="32"/>
      <c r="X13" s="32"/>
      <c r="Y13" s="32"/>
      <c r="Z13" s="32"/>
      <c r="AA13" s="32"/>
    </row>
    <row r="14" spans="1:42" customFormat="1" ht="15.75" x14ac:dyDescent="0.25">
      <c r="A14" s="18" t="s">
        <v>29</v>
      </c>
      <c r="B14" s="25" t="s">
        <v>30</v>
      </c>
      <c r="C14" s="22" t="s">
        <v>31</v>
      </c>
      <c r="D14" s="26">
        <f>VLOOKUP(A14,'CS PROP'!A:N,14,FALSE)</f>
        <v>-10427.719438783592</v>
      </c>
      <c r="E14" s="26">
        <v>11249.058029553038</v>
      </c>
      <c r="F14" s="26">
        <v>43645</v>
      </c>
      <c r="G14" s="26">
        <v>42722.442828774976</v>
      </c>
      <c r="H14" s="26">
        <v>37604</v>
      </c>
      <c r="I14" s="26">
        <v>20695.680455256021</v>
      </c>
      <c r="J14" s="26">
        <v>3297.25</v>
      </c>
      <c r="K14" s="26">
        <v>101014.27403055981</v>
      </c>
      <c r="L14" s="26">
        <v>-142348</v>
      </c>
      <c r="M14" s="29">
        <v>143262.38288168813</v>
      </c>
      <c r="N14" s="26">
        <v>248643.25</v>
      </c>
      <c r="O14" s="31"/>
      <c r="P14" s="31"/>
      <c r="Q14" s="31" t="s">
        <v>32</v>
      </c>
      <c r="R14" s="31"/>
      <c r="S14" s="31"/>
      <c r="T14" s="31"/>
      <c r="U14" s="31"/>
      <c r="V14" s="31"/>
      <c r="W14" s="32"/>
      <c r="X14" s="32"/>
      <c r="Y14" s="32"/>
      <c r="Z14" s="32"/>
      <c r="AA14" s="32"/>
    </row>
    <row r="15" spans="1:42" customFormat="1" ht="15.75" x14ac:dyDescent="0.25">
      <c r="A15" s="18" t="s">
        <v>29</v>
      </c>
      <c r="B15" s="25" t="s">
        <v>33</v>
      </c>
      <c r="C15" s="22" t="s">
        <v>34</v>
      </c>
      <c r="D15" s="26">
        <f>VLOOKUP(A15,'CAT PROP'!A:N,14,FALSE)</f>
        <v>160902.85745746642</v>
      </c>
      <c r="E15" s="26">
        <v>100381.23004707618</v>
      </c>
      <c r="F15" s="26">
        <v>113990</v>
      </c>
      <c r="G15" s="26">
        <v>241064.73431198846</v>
      </c>
      <c r="H15" s="26">
        <v>57589</v>
      </c>
      <c r="I15" s="26">
        <v>178233.49581545877</v>
      </c>
      <c r="J15" s="26">
        <v>245937</v>
      </c>
      <c r="K15" s="26">
        <v>240557.57913332363</v>
      </c>
      <c r="L15" s="26">
        <v>213078</v>
      </c>
      <c r="M15" s="29">
        <v>195658.12966203038</v>
      </c>
      <c r="N15" s="26">
        <v>169095.37</v>
      </c>
      <c r="O15" s="31"/>
      <c r="P15" s="43"/>
      <c r="Q15" s="31"/>
      <c r="R15" s="31"/>
      <c r="S15" s="31"/>
      <c r="T15" s="31"/>
      <c r="U15" s="31"/>
      <c r="V15" s="31"/>
      <c r="W15" s="32"/>
      <c r="X15" s="32"/>
      <c r="Y15" s="32"/>
      <c r="Z15" s="32"/>
      <c r="AA15" s="32"/>
    </row>
    <row r="16" spans="1:42" customFormat="1" ht="15.75" x14ac:dyDescent="0.25">
      <c r="A16" s="18" t="s">
        <v>29</v>
      </c>
      <c r="B16" s="25" t="s">
        <v>35</v>
      </c>
      <c r="C16" s="22" t="s">
        <v>36</v>
      </c>
      <c r="D16" s="83">
        <v>0</v>
      </c>
      <c r="E16" s="26">
        <v>31616.384460799803</v>
      </c>
      <c r="F16" s="26">
        <v>-22000</v>
      </c>
      <c r="G16" s="26">
        <v>56308.805135207134</v>
      </c>
      <c r="H16" s="26">
        <v>-48449.02</v>
      </c>
      <c r="I16" s="26">
        <v>40023.949239361493</v>
      </c>
      <c r="J16" s="26">
        <v>40073</v>
      </c>
      <c r="K16" s="26">
        <v>4593.8263489807869</v>
      </c>
      <c r="L16" s="26">
        <v>20232</v>
      </c>
      <c r="M16" s="29">
        <v>1693.8116373627126</v>
      </c>
      <c r="N16" s="26">
        <v>1762</v>
      </c>
      <c r="O16" s="31"/>
      <c r="P16" s="43"/>
      <c r="Q16" s="31"/>
      <c r="R16" s="31"/>
      <c r="S16" s="31"/>
      <c r="T16" s="31"/>
      <c r="U16" s="31"/>
      <c r="V16" s="31"/>
      <c r="W16" s="32"/>
      <c r="X16" s="32"/>
      <c r="Y16" s="32"/>
      <c r="Z16" s="32"/>
      <c r="AA16" s="32"/>
      <c r="AC16" s="44"/>
      <c r="AF16" s="45"/>
      <c r="AJ16" t="s">
        <v>37</v>
      </c>
      <c r="AP16" t="s">
        <v>38</v>
      </c>
    </row>
    <row r="17" spans="1:44" s="8" customFormat="1" x14ac:dyDescent="0.25">
      <c r="A17" s="9" t="s">
        <v>29</v>
      </c>
      <c r="B17" s="174"/>
      <c r="C17" s="12" t="s">
        <v>39</v>
      </c>
      <c r="D17" s="26">
        <f>VLOOKUP(A17,TAV!A:N,14,FALSE)</f>
        <v>57209.934886701114</v>
      </c>
      <c r="E17" s="26">
        <v>39440.408371177502</v>
      </c>
      <c r="F17" s="26">
        <v>21524</v>
      </c>
      <c r="G17" s="26">
        <v>30634.414936564513</v>
      </c>
      <c r="H17" s="26">
        <v>-51652</v>
      </c>
      <c r="I17" s="27">
        <v>15234.414936564513</v>
      </c>
      <c r="J17" s="27">
        <v>-9676</v>
      </c>
      <c r="K17" s="26">
        <v>23161.706975701964</v>
      </c>
      <c r="L17" s="27">
        <v>56479</v>
      </c>
      <c r="M17" s="28">
        <v>39628.049703457626</v>
      </c>
      <c r="N17" s="28">
        <v>-18104.419999999998</v>
      </c>
      <c r="O17" s="62"/>
      <c r="P17" s="76"/>
      <c r="Q17" s="62"/>
      <c r="R17" s="62"/>
      <c r="S17" s="62"/>
      <c r="T17" s="62"/>
      <c r="U17" s="62"/>
      <c r="V17" s="62"/>
      <c r="W17" s="63"/>
      <c r="X17" s="63"/>
      <c r="Y17" s="63"/>
      <c r="Z17" s="63"/>
      <c r="AA17" s="63"/>
      <c r="AC17" s="64"/>
      <c r="AD17" s="175" t="s">
        <v>40</v>
      </c>
      <c r="AE17" s="176"/>
      <c r="AF17" s="177" t="s">
        <v>41</v>
      </c>
      <c r="AG17" s="176"/>
      <c r="AH17" s="176"/>
      <c r="AI17" s="176"/>
      <c r="AP17" s="178"/>
      <c r="AQ17" s="179"/>
      <c r="AR17" s="180"/>
    </row>
    <row r="18" spans="1:44" s="24" customFormat="1" hidden="1" x14ac:dyDescent="0.25">
      <c r="A18" s="18" t="s">
        <v>29</v>
      </c>
      <c r="B18" s="25" t="s">
        <v>42</v>
      </c>
      <c r="C18" s="10" t="s">
        <v>43</v>
      </c>
      <c r="D18" s="26"/>
      <c r="E18" s="26"/>
      <c r="F18" s="26"/>
      <c r="G18" s="26"/>
      <c r="H18" s="26"/>
      <c r="I18" s="26"/>
      <c r="J18" s="26"/>
      <c r="K18" s="26"/>
      <c r="L18" s="26"/>
      <c r="M18" s="20"/>
      <c r="N18" s="20"/>
      <c r="O18" s="31"/>
      <c r="P18" s="43"/>
      <c r="Q18" s="31"/>
      <c r="R18" s="31"/>
      <c r="S18" s="31"/>
      <c r="T18" s="31"/>
      <c r="U18" s="31"/>
      <c r="V18" s="31"/>
      <c r="W18" s="32"/>
      <c r="X18" s="32"/>
      <c r="Y18" s="32"/>
      <c r="Z18" s="32"/>
      <c r="AA18" s="32"/>
      <c r="AC18" s="46"/>
      <c r="AD18" s="47"/>
      <c r="AF18" s="48"/>
      <c r="AP18" s="49"/>
      <c r="AQ18" s="50"/>
      <c r="AR18" s="51"/>
    </row>
    <row r="19" spans="1:44" s="24" customFormat="1" hidden="1" x14ac:dyDescent="0.25">
      <c r="A19" s="18" t="s">
        <v>29</v>
      </c>
      <c r="B19" s="25" t="s">
        <v>44</v>
      </c>
      <c r="C19" s="37" t="s">
        <v>45</v>
      </c>
      <c r="D19" s="26"/>
      <c r="E19" s="26"/>
      <c r="F19" s="26"/>
      <c r="G19" s="26"/>
      <c r="H19" s="26"/>
      <c r="I19" s="26"/>
      <c r="J19" s="26"/>
      <c r="K19" s="26"/>
      <c r="L19" s="26"/>
      <c r="M19" s="20"/>
      <c r="N19" s="20"/>
      <c r="O19" s="31"/>
      <c r="P19" s="43"/>
      <c r="Q19" s="31"/>
      <c r="R19" s="31"/>
      <c r="S19" s="31"/>
      <c r="T19" s="31"/>
      <c r="U19" s="31"/>
      <c r="V19" s="31"/>
      <c r="W19" s="32"/>
      <c r="X19" s="32"/>
      <c r="Y19" s="32"/>
      <c r="Z19" s="32"/>
      <c r="AA19" s="32"/>
      <c r="AC19" s="46"/>
      <c r="AD19" s="47"/>
      <c r="AF19" s="48"/>
      <c r="AP19" s="49"/>
      <c r="AQ19" s="50"/>
      <c r="AR19" s="51"/>
    </row>
    <row r="20" spans="1:44" customFormat="1" ht="15.75" x14ac:dyDescent="0.25">
      <c r="A20" s="18" t="s">
        <v>46</v>
      </c>
      <c r="B20" s="19"/>
      <c r="C20" s="10" t="s">
        <v>47</v>
      </c>
      <c r="D20" s="26">
        <f>'CAT OUT'!G18</f>
        <v>79407.035276852141</v>
      </c>
      <c r="E20" s="26">
        <v>18781.020000000019</v>
      </c>
      <c r="F20" s="26">
        <v>-7500</v>
      </c>
      <c r="G20" s="26">
        <v>31169.458071691275</v>
      </c>
      <c r="H20" s="26">
        <f>-86900.48-H17</f>
        <v>-35248.479999999996</v>
      </c>
      <c r="I20" s="26">
        <v>22990.512314910593</v>
      </c>
      <c r="J20" s="26">
        <f>-253229.13+204643-J17</f>
        <v>-38910.130000000005</v>
      </c>
      <c r="K20" s="26">
        <v>77507.031690575997</v>
      </c>
      <c r="L20" s="26">
        <v>241096</v>
      </c>
      <c r="M20" s="20">
        <v>-67052.802137766092</v>
      </c>
      <c r="N20" s="20">
        <f>547165.14-498152.97-N17</f>
        <v>67116.59000000004</v>
      </c>
      <c r="O20" s="31"/>
      <c r="P20" s="43"/>
      <c r="Q20" s="31" t="s">
        <v>28</v>
      </c>
      <c r="R20" s="31"/>
      <c r="S20" s="31"/>
      <c r="T20" s="31"/>
      <c r="U20" s="31"/>
      <c r="V20" s="31"/>
      <c r="W20" s="32"/>
      <c r="X20" s="32"/>
      <c r="Y20" s="32"/>
      <c r="Z20" s="32"/>
      <c r="AA20" s="32"/>
      <c r="AC20" s="52" t="s">
        <v>48</v>
      </c>
      <c r="AD20" s="53">
        <v>-31436.6</v>
      </c>
      <c r="AE20" s="44">
        <v>60100.1</v>
      </c>
      <c r="AF20" s="45">
        <v>-459.93</v>
      </c>
      <c r="AG20" s="44">
        <v>95145.79</v>
      </c>
      <c r="AH20" s="44">
        <v>605286.22</v>
      </c>
      <c r="AI20" s="44">
        <v>474479.37</v>
      </c>
      <c r="AP20" s="54" t="s">
        <v>49</v>
      </c>
      <c r="AQ20" s="46">
        <v>529663.01</v>
      </c>
      <c r="AR20" s="55">
        <f>AQ20-AQ35</f>
        <v>268640.86</v>
      </c>
    </row>
    <row r="21" spans="1:44" s="47" customFormat="1" x14ac:dyDescent="0.25">
      <c r="A21" s="56"/>
      <c r="B21" s="57"/>
      <c r="C21" s="58" t="s">
        <v>50</v>
      </c>
      <c r="D21" s="59">
        <f t="shared" ref="D21:M21" si="0">D20+D17+D16+D15+D14+D12+D8</f>
        <v>3839692.1081822361</v>
      </c>
      <c r="E21" s="59">
        <f t="shared" si="0"/>
        <v>3404468.1009086063</v>
      </c>
      <c r="F21" s="59">
        <f t="shared" si="0"/>
        <v>3503009</v>
      </c>
      <c r="G21" s="59">
        <f t="shared" si="0"/>
        <v>3284899.8552842261</v>
      </c>
      <c r="H21" s="59">
        <f t="shared" si="0"/>
        <v>3132855.61</v>
      </c>
      <c r="I21" s="59">
        <f t="shared" si="0"/>
        <v>3070678.0527615515</v>
      </c>
      <c r="J21" s="59">
        <f t="shared" si="0"/>
        <v>3189065.12</v>
      </c>
      <c r="K21" s="59">
        <f t="shared" si="0"/>
        <v>3194493.8181791427</v>
      </c>
      <c r="L21" s="59">
        <f t="shared" si="0"/>
        <v>3182760</v>
      </c>
      <c r="M21" s="59">
        <f t="shared" si="0"/>
        <v>3007159.5717467726</v>
      </c>
      <c r="N21" s="59">
        <f>SUM(N8:N20)</f>
        <v>3294491.22</v>
      </c>
      <c r="O21" s="31"/>
      <c r="P21" s="31"/>
      <c r="Q21" s="31"/>
      <c r="R21" s="31"/>
      <c r="S21" s="31"/>
      <c r="T21" s="31"/>
      <c r="U21" s="31"/>
      <c r="V21" s="31"/>
      <c r="W21" s="32"/>
      <c r="X21" s="32"/>
      <c r="Y21" s="32"/>
      <c r="Z21" s="32"/>
      <c r="AA21" s="32"/>
      <c r="AC21" s="47" t="s">
        <v>51</v>
      </c>
      <c r="AD21" s="50">
        <v>32342.66</v>
      </c>
      <c r="AE21" s="46">
        <v>-14972.93</v>
      </c>
      <c r="AF21" s="50">
        <v>-20257.240000000002</v>
      </c>
      <c r="AG21" s="50">
        <v>9770.7199999999993</v>
      </c>
      <c r="AH21" s="50">
        <v>65698.820000000007</v>
      </c>
      <c r="AI21" s="50">
        <v>-74594.3</v>
      </c>
      <c r="AP21" s="54" t="s">
        <v>52</v>
      </c>
      <c r="AQ21" s="46">
        <v>29306.57</v>
      </c>
      <c r="AR21" s="60"/>
    </row>
    <row r="22" spans="1:44" s="8" customFormat="1" ht="15.75" x14ac:dyDescent="0.25">
      <c r="A22" s="18"/>
      <c r="B22" s="19"/>
      <c r="C22" s="21" t="s">
        <v>53</v>
      </c>
      <c r="D22" s="41"/>
      <c r="E22" s="41"/>
      <c r="F22" s="41"/>
      <c r="G22" s="41"/>
      <c r="H22" s="41"/>
      <c r="I22" s="41"/>
      <c r="J22" s="41"/>
      <c r="K22" s="41"/>
      <c r="L22" s="41"/>
      <c r="M22" s="20"/>
      <c r="N22" s="61"/>
      <c r="O22" s="62"/>
      <c r="P22" s="62"/>
      <c r="Q22" s="62"/>
      <c r="R22" s="62"/>
      <c r="S22" s="62"/>
      <c r="T22" s="62"/>
      <c r="U22" s="62"/>
      <c r="V22" s="62"/>
      <c r="W22" s="63"/>
      <c r="X22" s="63"/>
      <c r="Y22" s="63"/>
      <c r="Z22" s="63"/>
      <c r="AA22" s="63"/>
      <c r="AC22" s="8" t="s">
        <v>54</v>
      </c>
      <c r="AD22" s="64">
        <v>-20786.599999999999</v>
      </c>
      <c r="AE22" s="64">
        <v>-8866.34</v>
      </c>
      <c r="AF22" s="64">
        <v>-13622.28</v>
      </c>
      <c r="AG22" s="64">
        <v>-95109.66</v>
      </c>
      <c r="AH22" s="64">
        <v>-88663.4</v>
      </c>
      <c r="AI22" s="64">
        <v>-189432.84</v>
      </c>
      <c r="AP22" s="65" t="s">
        <v>55</v>
      </c>
      <c r="AQ22" s="66">
        <v>-270194.02</v>
      </c>
      <c r="AR22" s="67"/>
    </row>
    <row r="23" spans="1:44" s="8" customFormat="1" ht="15.75" customHeight="1" x14ac:dyDescent="0.25">
      <c r="A23" s="18" t="s">
        <v>29</v>
      </c>
      <c r="B23" s="25" t="s">
        <v>56</v>
      </c>
      <c r="C23" s="10" t="s">
        <v>57</v>
      </c>
      <c r="D23" s="26">
        <f>VLOOKUP(A23,PRES!A:N,14,FALSE)</f>
        <v>-83577.666914753703</v>
      </c>
      <c r="E23" s="26">
        <v>-64749.384375878159</v>
      </c>
      <c r="F23" s="26">
        <v>-66044</v>
      </c>
      <c r="G23" s="26">
        <v>-62394.101999916711</v>
      </c>
      <c r="H23" s="26">
        <v>-51243</v>
      </c>
      <c r="I23" s="26">
        <v>-61294.559720178797</v>
      </c>
      <c r="J23" s="26">
        <v>-52013</v>
      </c>
      <c r="K23" s="26">
        <v>-56967.050934792584</v>
      </c>
      <c r="L23" s="26">
        <v>-23096.350000000006</v>
      </c>
      <c r="M23" s="20">
        <v>-62515.066104183774</v>
      </c>
      <c r="N23" s="20">
        <v>-57024.04</v>
      </c>
      <c r="O23" s="62"/>
      <c r="P23" s="62"/>
      <c r="Q23" s="62"/>
      <c r="R23" s="62"/>
      <c r="S23" s="62"/>
      <c r="T23" s="62"/>
      <c r="U23" s="62"/>
      <c r="V23" s="62"/>
      <c r="W23" s="63"/>
      <c r="X23" s="63"/>
      <c r="Y23" s="63"/>
      <c r="Z23" s="63"/>
      <c r="AA23" s="63"/>
      <c r="AD23" s="68">
        <f t="shared" ref="AD23:AI23" si="1">SUM(AD20:AD22)</f>
        <v>-19880.539999999997</v>
      </c>
      <c r="AE23" s="66">
        <f t="shared" si="1"/>
        <v>36260.83</v>
      </c>
      <c r="AF23" s="68">
        <f t="shared" si="1"/>
        <v>-34339.450000000004</v>
      </c>
      <c r="AG23" s="68">
        <f t="shared" si="1"/>
        <v>9806.8499999999913</v>
      </c>
      <c r="AH23" s="68">
        <f t="shared" si="1"/>
        <v>582321.64</v>
      </c>
      <c r="AI23" s="68">
        <f t="shared" si="1"/>
        <v>210452.23</v>
      </c>
      <c r="AN23" s="8" t="s">
        <v>58</v>
      </c>
      <c r="AP23" s="69" t="s">
        <v>59</v>
      </c>
      <c r="AQ23" s="64">
        <v>17932.96</v>
      </c>
      <c r="AR23" s="70"/>
    </row>
    <row r="24" spans="1:44" s="8" customFormat="1" x14ac:dyDescent="0.25">
      <c r="A24" s="18" t="s">
        <v>29</v>
      </c>
      <c r="B24" s="25" t="s">
        <v>60</v>
      </c>
      <c r="C24" s="10" t="s">
        <v>61</v>
      </c>
      <c r="D24" s="26">
        <f>VLOOKUP(A24,GC!A:N,14,FALSE)-D25</f>
        <v>-385576.29723512148</v>
      </c>
      <c r="E24" s="26">
        <v>-366572.68093588535</v>
      </c>
      <c r="F24" s="26">
        <v>-374454</v>
      </c>
      <c r="G24" s="26">
        <v>-444041.37188084173</v>
      </c>
      <c r="H24" s="26">
        <f>-512678-H25</f>
        <v>-451918</v>
      </c>
      <c r="I24" s="26">
        <v>-396986.07967285998</v>
      </c>
      <c r="J24" s="26">
        <f>-441797-J25</f>
        <v>-390307</v>
      </c>
      <c r="K24" s="26">
        <v>-307319.61097286001</v>
      </c>
      <c r="L24" s="26">
        <v>-329239.18999999994</v>
      </c>
      <c r="M24" s="20">
        <v>-293133.83362170216</v>
      </c>
      <c r="N24" s="20">
        <f>-419543.89-N25</f>
        <v>-353334.25</v>
      </c>
      <c r="O24" s="62"/>
      <c r="P24" s="62"/>
      <c r="Q24" s="62"/>
      <c r="R24" s="62"/>
      <c r="S24" s="62"/>
      <c r="T24" s="62"/>
      <c r="U24" s="62"/>
      <c r="V24" s="62"/>
      <c r="W24" s="63"/>
      <c r="X24" s="63"/>
      <c r="Y24" s="63"/>
      <c r="Z24" s="63"/>
      <c r="AA24" s="63"/>
      <c r="AE24" s="64"/>
      <c r="AN24" s="8" t="s">
        <v>62</v>
      </c>
      <c r="AP24" s="69" t="s">
        <v>63</v>
      </c>
      <c r="AQ24" s="71">
        <v>243975.19</v>
      </c>
      <c r="AR24" s="70"/>
    </row>
    <row r="25" spans="1:44" s="8" customFormat="1" x14ac:dyDescent="0.25">
      <c r="A25" s="18" t="s">
        <v>64</v>
      </c>
      <c r="B25" s="25" t="s">
        <v>60</v>
      </c>
      <c r="C25" s="10" t="s">
        <v>65</v>
      </c>
      <c r="D25" s="26">
        <f>-VLOOKUP(A25,GC!A:N,14,FALSE)</f>
        <v>-65000</v>
      </c>
      <c r="E25" s="26">
        <v>-62000</v>
      </c>
      <c r="F25" s="26">
        <v>-62000</v>
      </c>
      <c r="G25" s="26">
        <v>-60000</v>
      </c>
      <c r="H25" s="26">
        <v>-60760</v>
      </c>
      <c r="I25" s="26">
        <v>-62000</v>
      </c>
      <c r="J25" s="26">
        <v>-51490</v>
      </c>
      <c r="K25" s="26">
        <v>-60700</v>
      </c>
      <c r="L25" s="26">
        <v>-48947.22</v>
      </c>
      <c r="M25" s="20">
        <v>-60700</v>
      </c>
      <c r="N25" s="20">
        <v>-66209.64</v>
      </c>
      <c r="O25" s="62"/>
      <c r="P25" s="62"/>
      <c r="Q25" s="62"/>
      <c r="R25" s="62"/>
      <c r="S25" s="62"/>
      <c r="T25" s="62"/>
      <c r="U25" s="62"/>
      <c r="V25" s="62"/>
      <c r="W25" s="63"/>
      <c r="X25" s="63"/>
      <c r="Y25" s="63"/>
      <c r="Z25" s="63"/>
      <c r="AA25" s="63"/>
      <c r="AE25" s="64"/>
      <c r="AP25" s="69"/>
      <c r="AQ25" s="71"/>
      <c r="AR25" s="70"/>
    </row>
    <row r="26" spans="1:44" s="8" customFormat="1" x14ac:dyDescent="0.25">
      <c r="A26" s="18" t="s">
        <v>29</v>
      </c>
      <c r="B26" s="25" t="s">
        <v>66</v>
      </c>
      <c r="C26" s="10" t="s">
        <v>67</v>
      </c>
      <c r="D26" s="26">
        <f>VLOOKUP(A26,PEL!A:N,14,FALSE)</f>
        <v>-47567.720654341574</v>
      </c>
      <c r="E26" s="26">
        <v>-44779.7486707719</v>
      </c>
      <c r="F26" s="26">
        <v>-45426</v>
      </c>
      <c r="G26" s="26">
        <v>-46263.830174950024</v>
      </c>
      <c r="H26" s="26">
        <v>-41311</v>
      </c>
      <c r="I26" s="26">
        <v>-48610.170000000006</v>
      </c>
      <c r="J26" s="26">
        <v>-44785</v>
      </c>
      <c r="K26" s="26">
        <v>-44262.288560875553</v>
      </c>
      <c r="L26" s="26">
        <v>-40062.19</v>
      </c>
      <c r="M26" s="20">
        <v>-50781.156584588745</v>
      </c>
      <c r="N26" s="20">
        <v>-58511.3</v>
      </c>
      <c r="O26" s="62"/>
      <c r="P26" s="62"/>
      <c r="Q26" s="62"/>
      <c r="R26" s="62"/>
      <c r="S26" s="62"/>
      <c r="T26" s="62"/>
      <c r="U26" s="62"/>
      <c r="V26" s="62"/>
      <c r="W26" s="63"/>
      <c r="X26" s="63"/>
      <c r="Y26" s="63"/>
      <c r="Z26" s="63"/>
      <c r="AA26" s="63"/>
      <c r="AE26" s="72"/>
      <c r="AP26" s="69"/>
      <c r="AQ26" s="71"/>
      <c r="AR26" s="70"/>
    </row>
    <row r="27" spans="1:44" s="8" customFormat="1" x14ac:dyDescent="0.25">
      <c r="A27" s="18"/>
      <c r="B27" s="19"/>
      <c r="C27" s="21" t="s">
        <v>68</v>
      </c>
      <c r="D27" s="26"/>
      <c r="E27" s="26"/>
      <c r="F27" s="26"/>
      <c r="G27" s="26"/>
      <c r="H27" s="26"/>
      <c r="I27" s="26"/>
      <c r="J27" s="26"/>
      <c r="K27" s="26"/>
      <c r="L27" s="26"/>
      <c r="M27" s="20"/>
      <c r="N27" s="41"/>
      <c r="O27" s="62"/>
      <c r="P27" s="62"/>
      <c r="Q27" s="62"/>
      <c r="R27" s="62"/>
      <c r="S27" s="62"/>
      <c r="T27" s="62"/>
      <c r="U27" s="62"/>
      <c r="V27" s="62"/>
      <c r="W27" s="63"/>
      <c r="X27" s="63"/>
      <c r="Y27" s="63"/>
      <c r="Z27" s="63"/>
      <c r="AA27" s="63"/>
      <c r="AE27" s="72"/>
      <c r="AP27" s="73" t="s">
        <v>69</v>
      </c>
      <c r="AQ27" s="71">
        <v>-80931</v>
      </c>
      <c r="AR27" s="70"/>
    </row>
    <row r="28" spans="1:44" s="8" customFormat="1" x14ac:dyDescent="0.25">
      <c r="A28" s="18" t="s">
        <v>29</v>
      </c>
      <c r="B28" s="19" t="s">
        <v>70</v>
      </c>
      <c r="C28" s="10" t="s">
        <v>71</v>
      </c>
      <c r="D28" s="26">
        <f>VLOOKUP($A$28,ENV!A:N,14,FALSE)</f>
        <v>-5000</v>
      </c>
      <c r="E28" s="26">
        <v>-3136</v>
      </c>
      <c r="F28" s="26">
        <v>-2286</v>
      </c>
      <c r="G28" s="26">
        <v>-3802.8</v>
      </c>
      <c r="H28" s="26">
        <v>-1337</v>
      </c>
      <c r="I28" s="26">
        <v>-4248.3599999999997</v>
      </c>
      <c r="J28" s="26">
        <v>-2735</v>
      </c>
      <c r="K28" s="26">
        <v>-775</v>
      </c>
      <c r="L28" s="26">
        <v>-1567</v>
      </c>
      <c r="M28" s="20">
        <v>-775</v>
      </c>
      <c r="N28" s="26">
        <v>-1261.26</v>
      </c>
      <c r="O28" s="62"/>
      <c r="P28" s="62"/>
      <c r="Q28" s="62"/>
      <c r="R28" s="62"/>
      <c r="S28" s="62"/>
      <c r="T28" s="62"/>
      <c r="U28" s="62"/>
      <c r="V28" s="62"/>
      <c r="W28" s="63"/>
      <c r="X28" s="63"/>
      <c r="Y28" s="63"/>
      <c r="Z28" s="63"/>
      <c r="AA28" s="63"/>
      <c r="AE28" s="72"/>
      <c r="AP28" s="73" t="s">
        <v>72</v>
      </c>
      <c r="AQ28" s="71">
        <v>-43021</v>
      </c>
      <c r="AR28" s="70"/>
    </row>
    <row r="29" spans="1:44" s="8" customFormat="1" x14ac:dyDescent="0.25">
      <c r="A29" s="18" t="s">
        <v>29</v>
      </c>
      <c r="B29" s="10" t="s">
        <v>73</v>
      </c>
      <c r="C29" s="10" t="s">
        <v>74</v>
      </c>
      <c r="D29" s="26">
        <f>VLOOKUP($A$29,ISS!A:N,14,FALSE)</f>
        <v>-14930.439999999999</v>
      </c>
      <c r="E29" s="26">
        <v>-15089.439999999999</v>
      </c>
      <c r="F29" s="26">
        <v>-15489</v>
      </c>
      <c r="G29" s="26">
        <v>-16616.439999999999</v>
      </c>
      <c r="H29" s="26">
        <v>-14209</v>
      </c>
      <c r="I29" s="26">
        <v>-18296.919999999998</v>
      </c>
      <c r="J29" s="26">
        <v>-12673</v>
      </c>
      <c r="K29" s="26">
        <v>-12000</v>
      </c>
      <c r="L29" s="26">
        <v>-14367</v>
      </c>
      <c r="M29" s="20">
        <v>-12150</v>
      </c>
      <c r="N29" s="26">
        <v>-14523.46</v>
      </c>
      <c r="O29" s="62"/>
      <c r="P29" s="62"/>
      <c r="Q29" s="62"/>
      <c r="R29" s="62"/>
      <c r="S29" s="62"/>
      <c r="T29" s="62"/>
      <c r="U29" s="62"/>
      <c r="V29" s="62"/>
      <c r="W29" s="63"/>
      <c r="X29" s="63"/>
      <c r="Y29" s="63"/>
      <c r="Z29" s="63"/>
      <c r="AA29" s="63"/>
      <c r="AC29" s="71"/>
      <c r="AE29" s="72"/>
      <c r="AP29" s="73" t="s">
        <v>75</v>
      </c>
      <c r="AQ29" s="71">
        <v>-158348</v>
      </c>
      <c r="AR29" s="70"/>
    </row>
    <row r="30" spans="1:44" s="8" customFormat="1" x14ac:dyDescent="0.25">
      <c r="A30" s="18" t="s">
        <v>29</v>
      </c>
      <c r="B30" s="10" t="s">
        <v>73</v>
      </c>
      <c r="C30" s="10" t="s">
        <v>76</v>
      </c>
      <c r="D30" s="26">
        <f>VLOOKUP(A30,ETHNO!A:N,14,FALSE)</f>
        <v>-2253.75</v>
      </c>
      <c r="E30" s="26">
        <v>-2172</v>
      </c>
      <c r="F30" s="26">
        <v>-1672</v>
      </c>
      <c r="G30" s="26">
        <v>-2753.3599999999997</v>
      </c>
      <c r="H30" s="26">
        <v>-1682</v>
      </c>
      <c r="I30" s="26">
        <v>-2153.3599999999997</v>
      </c>
      <c r="J30" s="26">
        <v>-1019</v>
      </c>
      <c r="K30" s="26">
        <v>0</v>
      </c>
      <c r="L30" s="26">
        <v>-1060</v>
      </c>
      <c r="M30" s="26">
        <v>0</v>
      </c>
      <c r="N30" s="26">
        <v>0</v>
      </c>
      <c r="O30" s="62"/>
      <c r="P30" s="62"/>
      <c r="Q30" s="62"/>
      <c r="R30" s="62"/>
      <c r="S30" s="62"/>
      <c r="T30" s="62"/>
      <c r="U30" s="62"/>
      <c r="V30" s="62"/>
      <c r="W30" s="63"/>
      <c r="X30" s="63"/>
      <c r="Y30" s="63"/>
      <c r="Z30" s="63"/>
      <c r="AA30" s="63"/>
      <c r="AC30" s="71"/>
      <c r="AE30" s="72"/>
      <c r="AP30" s="73"/>
      <c r="AQ30" s="71"/>
      <c r="AR30" s="70"/>
    </row>
    <row r="31" spans="1:44" s="8" customFormat="1" x14ac:dyDescent="0.25">
      <c r="A31" s="18" t="s">
        <v>29</v>
      </c>
      <c r="B31" s="25" t="s">
        <v>77</v>
      </c>
      <c r="C31" s="10" t="s">
        <v>78</v>
      </c>
      <c r="D31" s="26">
        <f>VLOOKUP(A31,PSA!A:N,14,FALSE)</f>
        <v>-105751.32065434157</v>
      </c>
      <c r="E31" s="26">
        <v>-105298.30867077192</v>
      </c>
      <c r="F31" s="26">
        <v>-107675</v>
      </c>
      <c r="G31" s="26">
        <v>-105327.23017495003</v>
      </c>
      <c r="H31" s="26">
        <v>-83863</v>
      </c>
      <c r="I31" s="26">
        <v>-107936.80000000002</v>
      </c>
      <c r="J31" s="26">
        <v>-92878</v>
      </c>
      <c r="K31" s="26">
        <v>-88772.288560875546</v>
      </c>
      <c r="L31" s="26">
        <v>-61646</v>
      </c>
      <c r="M31" s="20">
        <v>-92514.130157099993</v>
      </c>
      <c r="N31" s="26">
        <v>-83515.45</v>
      </c>
      <c r="O31" s="62"/>
      <c r="P31" s="62"/>
      <c r="Q31" s="62"/>
      <c r="R31" s="62"/>
      <c r="S31" s="62"/>
      <c r="T31" s="62"/>
      <c r="U31" s="62"/>
      <c r="V31" s="62"/>
      <c r="W31" s="63"/>
      <c r="X31" s="63"/>
      <c r="Y31" s="63"/>
      <c r="Z31" s="63"/>
      <c r="AA31" s="63"/>
      <c r="AE31" s="72"/>
      <c r="AN31" s="8" t="s">
        <v>79</v>
      </c>
      <c r="AP31" s="73" t="s">
        <v>80</v>
      </c>
      <c r="AQ31" s="71">
        <v>4603</v>
      </c>
      <c r="AR31" s="70"/>
    </row>
    <row r="32" spans="1:44" s="8" customFormat="1" x14ac:dyDescent="0.25">
      <c r="A32" s="18" t="s">
        <v>29</v>
      </c>
      <c r="B32" s="10" t="s">
        <v>81</v>
      </c>
      <c r="C32" s="10" t="s">
        <v>81</v>
      </c>
      <c r="D32" s="26">
        <f>VLOOKUP(A32,PRIDE!A:N,14,FALSE)</f>
        <v>-4406</v>
      </c>
      <c r="E32" s="26">
        <v>-6354</v>
      </c>
      <c r="F32" s="26">
        <v>-6354</v>
      </c>
      <c r="G32" s="26">
        <v>-8066.84</v>
      </c>
      <c r="H32" s="26">
        <v>-7488</v>
      </c>
      <c r="I32" s="26">
        <v>-8066.84</v>
      </c>
      <c r="J32" s="26">
        <v>-6449</v>
      </c>
      <c r="K32" s="26">
        <v>-5130</v>
      </c>
      <c r="L32" s="26">
        <v>-4775</v>
      </c>
      <c r="M32" s="20">
        <v>-6130</v>
      </c>
      <c r="N32" s="26">
        <v>-3572.08</v>
      </c>
      <c r="O32" s="62"/>
      <c r="P32" s="62"/>
      <c r="Q32" s="62"/>
      <c r="R32" s="62"/>
      <c r="S32" s="62"/>
      <c r="T32" s="62"/>
      <c r="U32" s="62"/>
      <c r="V32" s="62"/>
      <c r="W32" s="63"/>
      <c r="X32" s="63"/>
      <c r="Y32" s="63"/>
      <c r="Z32" s="63"/>
      <c r="AA32" s="63"/>
      <c r="AD32" s="8" t="s">
        <v>82</v>
      </c>
      <c r="AE32" s="72"/>
      <c r="AP32" s="73" t="s">
        <v>83</v>
      </c>
      <c r="AQ32" s="71">
        <v>221511</v>
      </c>
      <c r="AR32" s="70"/>
    </row>
    <row r="33" spans="1:44" s="8" customFormat="1" ht="15.75" customHeight="1" x14ac:dyDescent="0.25">
      <c r="A33" s="18" t="s">
        <v>29</v>
      </c>
      <c r="B33" s="74" t="e">
        <f>+'[1]YTD Budget'!AH6</f>
        <v>#REF!</v>
      </c>
      <c r="C33" s="10" t="s">
        <v>84</v>
      </c>
      <c r="D33" s="26">
        <f>VLOOKUP(A33,WOMENS!A:N,14,FALSE)</f>
        <v>-8524</v>
      </c>
      <c r="E33" s="26">
        <v>-9280</v>
      </c>
      <c r="F33" s="26">
        <v>-6930</v>
      </c>
      <c r="G33" s="26">
        <v>-11663</v>
      </c>
      <c r="H33" s="26">
        <v>-8024</v>
      </c>
      <c r="I33" s="26">
        <v>-13513</v>
      </c>
      <c r="J33" s="26">
        <v>-5622.01</v>
      </c>
      <c r="K33" s="26">
        <v>-15713</v>
      </c>
      <c r="L33" s="26">
        <v>-8905</v>
      </c>
      <c r="M33" s="20">
        <v>-14013</v>
      </c>
      <c r="N33" s="26">
        <v>-6594.74</v>
      </c>
      <c r="O33" s="62"/>
      <c r="P33" s="62"/>
      <c r="Q33" s="62"/>
      <c r="R33" s="62"/>
      <c r="S33" s="62"/>
      <c r="T33" s="62"/>
      <c r="U33" s="62"/>
      <c r="V33" s="62"/>
      <c r="W33" s="63"/>
      <c r="X33" s="63"/>
      <c r="Y33" s="63"/>
      <c r="Z33" s="63"/>
      <c r="AA33" s="63"/>
      <c r="AD33" s="8">
        <v>13960</v>
      </c>
      <c r="AE33" s="72"/>
      <c r="AP33" s="73" t="s">
        <v>85</v>
      </c>
      <c r="AQ33" s="71">
        <v>62467</v>
      </c>
      <c r="AR33" s="70"/>
    </row>
    <row r="34" spans="1:44" s="8" customFormat="1" x14ac:dyDescent="0.25">
      <c r="A34" s="18" t="s">
        <v>29</v>
      </c>
      <c r="B34" s="25" t="s">
        <v>86</v>
      </c>
      <c r="C34" s="10" t="s">
        <v>87</v>
      </c>
      <c r="D34" s="26">
        <f>VLOOKUP(A34,MASA!A:N,14,FALSE)</f>
        <v>-660</v>
      </c>
      <c r="E34" s="26">
        <v>-761</v>
      </c>
      <c r="F34" s="26">
        <v>-36</v>
      </c>
      <c r="G34" s="26">
        <v>-1788.08</v>
      </c>
      <c r="H34" s="26">
        <v>-849</v>
      </c>
      <c r="I34" s="26">
        <v>-1873.36</v>
      </c>
      <c r="J34" s="26">
        <v>-1335</v>
      </c>
      <c r="K34" s="26">
        <v>-1500</v>
      </c>
      <c r="L34" s="26">
        <v>-103</v>
      </c>
      <c r="M34" s="20">
        <v>-1200</v>
      </c>
      <c r="N34" s="26">
        <v>-1901.43</v>
      </c>
      <c r="O34" s="62"/>
      <c r="P34" s="62"/>
      <c r="Q34" s="62"/>
      <c r="R34" s="62"/>
      <c r="S34" s="62"/>
      <c r="T34" s="62"/>
      <c r="U34" s="62"/>
      <c r="V34" s="62"/>
      <c r="W34" s="63"/>
      <c r="X34" s="63"/>
      <c r="Y34" s="63"/>
      <c r="Z34" s="63"/>
      <c r="AA34" s="63"/>
      <c r="AE34" s="72"/>
      <c r="AP34" s="73" t="s">
        <v>88</v>
      </c>
      <c r="AQ34" s="71">
        <v>-7167</v>
      </c>
      <c r="AR34" s="70"/>
    </row>
    <row r="35" spans="1:44" s="8" customFormat="1" x14ac:dyDescent="0.25">
      <c r="A35" s="18" t="s">
        <v>29</v>
      </c>
      <c r="B35" s="19" t="s">
        <v>89</v>
      </c>
      <c r="C35" s="10" t="s">
        <v>89</v>
      </c>
      <c r="D35" s="26">
        <f>VLOOKUP(A35,WASAC!A:N,14,FALSE)</f>
        <v>-3580</v>
      </c>
      <c r="E35" s="26">
        <v>-3580</v>
      </c>
      <c r="F35" s="26">
        <v>-2910</v>
      </c>
      <c r="G35" s="26">
        <v>-7063.08</v>
      </c>
      <c r="H35" s="26">
        <v>-305</v>
      </c>
      <c r="I35" s="26">
        <v>-10073.36</v>
      </c>
      <c r="J35" s="26">
        <v>-3659</v>
      </c>
      <c r="K35" s="26">
        <v>-9802</v>
      </c>
      <c r="L35" s="26">
        <v>-1885</v>
      </c>
      <c r="M35" s="20">
        <v>-9802</v>
      </c>
      <c r="N35" s="26">
        <v>-1140.9100000000001</v>
      </c>
      <c r="O35" s="62"/>
      <c r="P35" s="62"/>
      <c r="Q35" s="62"/>
      <c r="R35" s="62"/>
      <c r="S35" s="62"/>
      <c r="T35" s="62"/>
      <c r="U35" s="62"/>
      <c r="V35" s="62"/>
      <c r="W35" s="63"/>
      <c r="X35" s="63"/>
      <c r="Y35" s="63"/>
      <c r="Z35" s="63"/>
      <c r="AA35" s="63"/>
      <c r="AE35" s="72"/>
      <c r="AP35" s="75"/>
      <c r="AQ35" s="68">
        <f>SUM(AQ23:AQ34)</f>
        <v>261022.15000000002</v>
      </c>
      <c r="AR35" s="70"/>
    </row>
    <row r="36" spans="1:44" s="8" customFormat="1" x14ac:dyDescent="0.25">
      <c r="A36" s="18" t="s">
        <v>29</v>
      </c>
      <c r="B36" s="19" t="s">
        <v>90</v>
      </c>
      <c r="C36" s="10" t="s">
        <v>91</v>
      </c>
      <c r="D36" s="26">
        <f>VLOOKUP(A36,ALBANY!A:N,14,FALSE)</f>
        <v>-2113</v>
      </c>
      <c r="E36" s="26">
        <v>-2248.8000000000002</v>
      </c>
      <c r="F36" s="26">
        <v>-2249</v>
      </c>
      <c r="G36" s="26">
        <v>-3345.6000000000004</v>
      </c>
      <c r="H36" s="26">
        <v>-559</v>
      </c>
      <c r="I36" s="26">
        <v>-3843.36</v>
      </c>
      <c r="J36" s="26">
        <v>-386</v>
      </c>
      <c r="K36" s="26">
        <v>-3350</v>
      </c>
      <c r="L36" s="26">
        <v>-2603</v>
      </c>
      <c r="M36" s="20">
        <v>-3450</v>
      </c>
      <c r="N36" s="26">
        <v>-2415.88</v>
      </c>
      <c r="O36" s="62"/>
      <c r="P36" s="62"/>
      <c r="Q36" s="76"/>
      <c r="R36" s="76"/>
      <c r="S36" s="62"/>
      <c r="T36" s="62"/>
      <c r="U36" s="62"/>
      <c r="V36" s="62"/>
      <c r="W36" s="63"/>
      <c r="X36" s="63"/>
      <c r="Y36" s="63"/>
      <c r="Z36" s="63"/>
      <c r="AA36" s="63"/>
      <c r="AD36" s="64"/>
      <c r="AE36" s="64"/>
      <c r="AP36" s="75"/>
      <c r="AQ36" s="71" t="e">
        <f>#REF!</f>
        <v>#REF!</v>
      </c>
      <c r="AR36" s="70" t="s">
        <v>92</v>
      </c>
    </row>
    <row r="37" spans="1:44" s="8" customFormat="1" x14ac:dyDescent="0.25">
      <c r="A37" s="18" t="s">
        <v>29</v>
      </c>
      <c r="B37" s="19" t="s">
        <v>93</v>
      </c>
      <c r="C37" s="10" t="s">
        <v>94</v>
      </c>
      <c r="D37" s="26">
        <f>VLOOKUP(A37,WELLBEING!A:N,14,FALSE)</f>
        <v>-4900</v>
      </c>
      <c r="E37" s="26">
        <v>-5036</v>
      </c>
      <c r="F37" s="26">
        <v>-5036</v>
      </c>
      <c r="G37" s="26">
        <v>-5440.4</v>
      </c>
      <c r="H37" s="26">
        <v>-4329</v>
      </c>
      <c r="I37" s="26">
        <v>-6640.4</v>
      </c>
      <c r="J37" s="26">
        <v>-3273</v>
      </c>
      <c r="K37" s="26">
        <v>-7300</v>
      </c>
      <c r="L37" s="26">
        <v>-3573</v>
      </c>
      <c r="M37" s="20">
        <v>-9700</v>
      </c>
      <c r="N37" s="26">
        <v>-6013.65</v>
      </c>
      <c r="O37" s="62"/>
      <c r="P37" s="62"/>
      <c r="Q37" s="76"/>
      <c r="R37" s="76"/>
      <c r="S37" s="62"/>
      <c r="T37" s="62"/>
      <c r="U37" s="62"/>
      <c r="V37" s="62"/>
      <c r="W37" s="63"/>
      <c r="X37" s="63"/>
      <c r="Y37" s="63"/>
      <c r="Z37" s="63"/>
      <c r="AA37" s="63"/>
      <c r="AD37" s="64">
        <v>-60497.18</v>
      </c>
      <c r="AE37" s="64"/>
      <c r="AF37" s="66" t="s">
        <v>95</v>
      </c>
      <c r="AG37" s="66">
        <v>-73749.53</v>
      </c>
      <c r="AP37" s="75"/>
      <c r="AQ37" s="64">
        <v>389834.22</v>
      </c>
      <c r="AR37" s="70"/>
    </row>
    <row r="38" spans="1:44" s="24" customFormat="1" x14ac:dyDescent="0.25">
      <c r="A38" s="18" t="s">
        <v>29</v>
      </c>
      <c r="B38" s="25" t="s">
        <v>96</v>
      </c>
      <c r="C38" s="10" t="s">
        <v>97</v>
      </c>
      <c r="D38" s="26">
        <f>VLOOKUP(A38,RSD!A:N,14,FALSE)</f>
        <v>-9686</v>
      </c>
      <c r="E38" s="26">
        <v>-9186</v>
      </c>
      <c r="F38" s="26">
        <v>-9186</v>
      </c>
      <c r="G38" s="26">
        <v>-9197.0799999999945</v>
      </c>
      <c r="H38" s="26">
        <v>-18712</v>
      </c>
      <c r="I38" s="26">
        <v>-9197.0839999999953</v>
      </c>
      <c r="J38" s="26">
        <v>-27261</v>
      </c>
      <c r="K38" s="26">
        <v>-10320</v>
      </c>
      <c r="L38" s="26">
        <v>-9095</v>
      </c>
      <c r="M38" s="20">
        <v>-13120</v>
      </c>
      <c r="N38" s="26">
        <v>-4091.01</v>
      </c>
      <c r="O38" s="31"/>
      <c r="P38" s="31"/>
      <c r="Q38" s="43"/>
      <c r="R38" s="43"/>
      <c r="S38" s="31"/>
      <c r="T38" s="31"/>
      <c r="U38" s="31"/>
      <c r="V38" s="31"/>
      <c r="W38" s="32"/>
      <c r="X38" s="32"/>
      <c r="Y38" s="32"/>
      <c r="Z38" s="32"/>
      <c r="AA38" s="32"/>
      <c r="AD38" s="46">
        <v>-13252.35</v>
      </c>
      <c r="AE38" s="46" t="s">
        <v>92</v>
      </c>
      <c r="AG38" s="77">
        <f>AG37-AD38</f>
        <v>-60497.18</v>
      </c>
      <c r="AN38" s="24" t="s">
        <v>98</v>
      </c>
      <c r="AP38" s="78"/>
      <c r="AQ38" s="79"/>
      <c r="AR38" s="80"/>
    </row>
    <row r="39" spans="1:44" s="24" customFormat="1" x14ac:dyDescent="0.25">
      <c r="A39" s="18" t="s">
        <v>29</v>
      </c>
      <c r="B39" s="81" t="s">
        <v>99</v>
      </c>
      <c r="C39" s="10" t="s">
        <v>100</v>
      </c>
      <c r="D39" s="26">
        <f>VLOOKUP(A39,ACCESS!A:N,14,FALSE)</f>
        <v>-3732</v>
      </c>
      <c r="E39" s="26">
        <v>-4040</v>
      </c>
      <c r="F39" s="26">
        <v>-2920</v>
      </c>
      <c r="G39" s="26">
        <v>-4130.1999999999989</v>
      </c>
      <c r="H39" s="26">
        <v>-3080</v>
      </c>
      <c r="I39" s="26">
        <v>-4570.2</v>
      </c>
      <c r="J39" s="26">
        <v>-2622</v>
      </c>
      <c r="K39" s="26">
        <v>-4720</v>
      </c>
      <c r="L39" s="26">
        <v>-1193</v>
      </c>
      <c r="M39" s="20">
        <v>-5300</v>
      </c>
      <c r="N39" s="26">
        <v>-1044.74</v>
      </c>
      <c r="O39" s="31"/>
      <c r="P39" s="31"/>
      <c r="Q39" s="43"/>
      <c r="R39" s="43"/>
      <c r="S39" s="31"/>
      <c r="T39" s="31"/>
      <c r="U39" s="31"/>
      <c r="V39" s="31"/>
      <c r="W39" s="32"/>
      <c r="X39" s="32"/>
      <c r="Y39" s="32"/>
      <c r="Z39" s="32"/>
      <c r="AA39" s="32"/>
      <c r="AD39" s="46"/>
      <c r="AE39" s="46"/>
      <c r="AG39" s="77"/>
      <c r="AP39" s="46"/>
      <c r="AQ39" s="46"/>
      <c r="AR39" s="46"/>
    </row>
    <row r="40" spans="1:44" s="46" customFormat="1" x14ac:dyDescent="0.25">
      <c r="A40" s="82" t="s">
        <v>29</v>
      </c>
      <c r="B40" s="81" t="s">
        <v>101</v>
      </c>
      <c r="C40" s="43" t="s">
        <v>102</v>
      </c>
      <c r="D40" s="26">
        <f>VLOOKUP(A40,PAC!A:N,14,FALSE)</f>
        <v>-9402</v>
      </c>
      <c r="E40" s="26">
        <v>-9402</v>
      </c>
      <c r="F40" s="26">
        <v>-8402</v>
      </c>
      <c r="G40" s="26">
        <v>-10416.92</v>
      </c>
      <c r="H40" s="26">
        <v>-4710</v>
      </c>
      <c r="I40" s="26">
        <v>-12116.92</v>
      </c>
      <c r="J40" s="26">
        <v>-9644</v>
      </c>
      <c r="K40" s="26">
        <v>-12560</v>
      </c>
      <c r="L40" s="26">
        <v>-11301</v>
      </c>
      <c r="M40" s="20">
        <v>-12560</v>
      </c>
      <c r="N40" s="26">
        <v>-7788.04</v>
      </c>
      <c r="O40" s="31"/>
      <c r="P40" s="31"/>
      <c r="Q40" s="43"/>
      <c r="R40" s="43"/>
      <c r="S40" s="31"/>
      <c r="T40" s="31"/>
      <c r="U40" s="31"/>
      <c r="V40" s="31"/>
      <c r="W40" s="32"/>
      <c r="X40" s="32"/>
      <c r="Y40" s="32"/>
      <c r="Z40" s="32"/>
      <c r="AA40" s="32"/>
    </row>
    <row r="41" spans="1:44" s="84" customFormat="1" ht="15" customHeight="1" x14ac:dyDescent="0.25">
      <c r="A41" s="82" t="s">
        <v>103</v>
      </c>
      <c r="B41" s="81" t="s">
        <v>104</v>
      </c>
      <c r="C41" s="83" t="s">
        <v>105</v>
      </c>
      <c r="D41" s="26">
        <f>-VLOOKUP(A41,SOC!A:N,14,FALSE)</f>
        <v>-140000</v>
      </c>
      <c r="E41" s="26">
        <v>-137000</v>
      </c>
      <c r="F41" s="26">
        <v>-137000</v>
      </c>
      <c r="G41" s="26">
        <v>-112000</v>
      </c>
      <c r="H41" s="26">
        <v>-81441</v>
      </c>
      <c r="I41" s="26">
        <v>-121000</v>
      </c>
      <c r="J41" s="26">
        <v>-125633</v>
      </c>
      <c r="K41" s="26">
        <v>-122600</v>
      </c>
      <c r="L41" s="26">
        <v>-130128</v>
      </c>
      <c r="M41" s="20">
        <v>-121000</v>
      </c>
      <c r="N41" s="26">
        <v>-100634.82</v>
      </c>
      <c r="O41" s="31"/>
      <c r="P41" s="31"/>
      <c r="Q41" s="31"/>
      <c r="R41" s="31"/>
      <c r="S41" s="31"/>
      <c r="T41" s="31"/>
      <c r="U41" s="31"/>
      <c r="V41" s="31"/>
      <c r="W41" s="32"/>
      <c r="X41" s="32"/>
      <c r="Y41" s="32"/>
      <c r="Z41" s="32"/>
      <c r="AA41" s="32"/>
    </row>
    <row r="42" spans="1:44" s="84" customFormat="1" ht="15.75" x14ac:dyDescent="0.25">
      <c r="A42" s="82" t="s">
        <v>29</v>
      </c>
      <c r="B42" s="81" t="s">
        <v>104</v>
      </c>
      <c r="C42" s="83" t="s">
        <v>106</v>
      </c>
      <c r="D42" s="26">
        <f>VLOOKUP(A42,SOC!A:N,14,FALSE)-D41</f>
        <v>-11510.5</v>
      </c>
      <c r="E42" s="26">
        <v>-11062</v>
      </c>
      <c r="F42" s="26">
        <v>-11962</v>
      </c>
      <c r="G42" s="26">
        <v>-11860</v>
      </c>
      <c r="H42" s="26">
        <f>-93542.57-H41</f>
        <v>-12101.570000000007</v>
      </c>
      <c r="I42" s="26">
        <v>-10588.890000000014</v>
      </c>
      <c r="J42" s="26">
        <f>-136393-J41</f>
        <v>-10760</v>
      </c>
      <c r="K42" s="26">
        <v>-9660</v>
      </c>
      <c r="L42" s="26">
        <v>-6465</v>
      </c>
      <c r="M42" s="20">
        <v>-12400</v>
      </c>
      <c r="N42" s="26">
        <f>-110360.58-N41</f>
        <v>-9725.7599999999948</v>
      </c>
      <c r="O42" s="31"/>
      <c r="P42" s="31"/>
      <c r="Q42" s="30"/>
      <c r="R42" s="31"/>
      <c r="S42" s="30"/>
      <c r="T42" s="31"/>
      <c r="U42" s="31"/>
      <c r="V42" s="31"/>
      <c r="W42" s="32"/>
      <c r="X42" s="32"/>
      <c r="Y42" s="32"/>
      <c r="Z42" s="32"/>
      <c r="AA42" s="32"/>
    </row>
    <row r="43" spans="1:44" s="24" customFormat="1" x14ac:dyDescent="0.25">
      <c r="A43" s="82" t="s">
        <v>29</v>
      </c>
      <c r="B43" s="81" t="s">
        <v>107</v>
      </c>
      <c r="C43" s="85" t="s">
        <v>108</v>
      </c>
      <c r="D43" s="26">
        <f>VLOOKUP(A43,EDU!A:N,14,FALSE)</f>
        <v>-64146</v>
      </c>
      <c r="E43" s="26">
        <v>-64276</v>
      </c>
      <c r="F43" s="26">
        <v>-64076</v>
      </c>
      <c r="G43" s="26">
        <v>-64763</v>
      </c>
      <c r="H43" s="26">
        <v>-49004</v>
      </c>
      <c r="I43" s="26">
        <v>-70163</v>
      </c>
      <c r="J43" s="26">
        <v>-64477</v>
      </c>
      <c r="K43" s="26">
        <v>-70366.44</v>
      </c>
      <c r="L43" s="26">
        <v>-60627</v>
      </c>
      <c r="M43" s="20">
        <v>-69816.44</v>
      </c>
      <c r="N43" s="26">
        <v>-3659.73</v>
      </c>
      <c r="O43" s="31"/>
      <c r="P43" s="31"/>
      <c r="Q43" s="31"/>
      <c r="R43" s="31"/>
      <c r="S43" s="31"/>
      <c r="T43" s="31"/>
      <c r="U43" s="31"/>
      <c r="V43" s="31"/>
      <c r="W43" s="32"/>
      <c r="X43" s="32"/>
      <c r="Y43" s="32"/>
      <c r="Z43" s="32"/>
      <c r="AA43" s="32"/>
      <c r="AC43" s="77"/>
      <c r="AE43" s="77"/>
    </row>
    <row r="44" spans="1:44" s="24" customFormat="1" x14ac:dyDescent="0.25">
      <c r="A44" s="82" t="s">
        <v>29</v>
      </c>
      <c r="B44" s="81" t="s">
        <v>109</v>
      </c>
      <c r="C44" s="85" t="s">
        <v>110</v>
      </c>
      <c r="D44" s="26">
        <f>VLOOKUP(A44,SPORTS!A:N,14,FALSE)</f>
        <v>-3566</v>
      </c>
      <c r="E44" s="26">
        <v>-3956</v>
      </c>
      <c r="F44" s="26">
        <v>-1106</v>
      </c>
      <c r="G44" s="26">
        <v>-4348.08</v>
      </c>
      <c r="H44" s="26">
        <v>-3601</v>
      </c>
      <c r="I44" s="26">
        <v>-4058.36</v>
      </c>
      <c r="J44" s="26">
        <v>-3124</v>
      </c>
      <c r="K44" s="26">
        <v>-4300</v>
      </c>
      <c r="L44" s="26">
        <v>-1086</v>
      </c>
      <c r="M44" s="20">
        <v>-4500</v>
      </c>
      <c r="N44" s="26">
        <v>-500</v>
      </c>
      <c r="O44" s="31"/>
      <c r="P44" s="31"/>
      <c r="Q44" s="31"/>
      <c r="R44" s="31"/>
      <c r="S44" s="31"/>
      <c r="T44" s="31"/>
      <c r="U44" s="31"/>
      <c r="V44" s="31"/>
      <c r="W44" s="32"/>
      <c r="X44" s="32"/>
      <c r="Y44" s="32"/>
      <c r="Z44" s="32"/>
      <c r="AA44" s="32"/>
    </row>
    <row r="45" spans="1:44" s="24" customFormat="1" x14ac:dyDescent="0.25">
      <c r="A45" s="82"/>
      <c r="B45" s="81"/>
      <c r="C45" s="85"/>
      <c r="D45" s="26"/>
      <c r="E45" s="26"/>
      <c r="F45" s="26"/>
      <c r="G45" s="26"/>
      <c r="H45" s="26"/>
      <c r="I45" s="26"/>
      <c r="J45" s="26"/>
      <c r="K45" s="26"/>
      <c r="L45" s="26"/>
      <c r="M45" s="20"/>
      <c r="N45" s="26"/>
      <c r="O45" s="31"/>
      <c r="P45" s="31"/>
      <c r="Q45" s="31"/>
      <c r="R45" s="31"/>
      <c r="S45" s="31"/>
      <c r="T45" s="31"/>
      <c r="U45" s="31"/>
      <c r="V45" s="31"/>
      <c r="W45" s="32"/>
      <c r="X45" s="32"/>
      <c r="Y45" s="32"/>
      <c r="Z45" s="32"/>
      <c r="AA45" s="32"/>
    </row>
    <row r="46" spans="1:44" s="24" customFormat="1" x14ac:dyDescent="0.25">
      <c r="A46" s="18"/>
      <c r="B46" s="19"/>
      <c r="C46" s="21" t="s">
        <v>111</v>
      </c>
      <c r="D46" s="26"/>
      <c r="E46" s="26"/>
      <c r="F46" s="26"/>
      <c r="G46" s="26"/>
      <c r="H46" s="26"/>
      <c r="I46" s="26"/>
      <c r="J46" s="26"/>
      <c r="K46" s="26"/>
      <c r="L46" s="26"/>
      <c r="M46" s="41"/>
      <c r="N46" s="41"/>
      <c r="O46" s="31"/>
      <c r="P46" s="31"/>
      <c r="Q46" s="31"/>
      <c r="R46" s="31"/>
      <c r="S46" s="31"/>
      <c r="T46" s="31"/>
      <c r="U46" s="31"/>
      <c r="V46" s="31"/>
      <c r="W46" s="32"/>
      <c r="X46" s="32"/>
      <c r="Y46" s="32"/>
      <c r="Z46" s="32"/>
      <c r="AA46" s="32"/>
    </row>
    <row r="47" spans="1:44" s="24" customFormat="1" x14ac:dyDescent="0.25">
      <c r="A47" s="18" t="s">
        <v>29</v>
      </c>
      <c r="B47" s="81" t="s">
        <v>112</v>
      </c>
      <c r="C47" s="10" t="s">
        <v>113</v>
      </c>
      <c r="D47" s="26">
        <f>VLOOKUP(A47,SA!A:N,14,0)</f>
        <v>-554772.02881808951</v>
      </c>
      <c r="E47" s="26">
        <v>-511931.30354582041</v>
      </c>
      <c r="F47" s="26">
        <v>-465416</v>
      </c>
      <c r="G47" s="26">
        <v>-495155.94594429282</v>
      </c>
      <c r="H47" s="26">
        <v>-461828</v>
      </c>
      <c r="I47" s="26">
        <v>-523878.98720371886</v>
      </c>
      <c r="J47" s="26">
        <v>-452008</v>
      </c>
      <c r="K47" s="26">
        <v>-375344.91531272605</v>
      </c>
      <c r="L47" s="26">
        <v>-243717</v>
      </c>
      <c r="M47" s="20">
        <v>-460940.05208419519</v>
      </c>
      <c r="N47" s="26">
        <v>-286853.17</v>
      </c>
      <c r="O47" s="31">
        <f>D47-I47</f>
        <v>-30893.041614370653</v>
      </c>
      <c r="P47" s="31"/>
      <c r="Q47" s="31"/>
      <c r="R47" s="31"/>
      <c r="S47" s="31"/>
      <c r="T47" s="31"/>
      <c r="U47" s="31"/>
      <c r="V47" s="31"/>
      <c r="W47" s="32"/>
      <c r="X47" s="32"/>
      <c r="Y47" s="32"/>
      <c r="Z47" s="32"/>
      <c r="AA47" s="32"/>
    </row>
    <row r="48" spans="1:44" s="24" customFormat="1" x14ac:dyDescent="0.25">
      <c r="A48" s="18" t="s">
        <v>29</v>
      </c>
      <c r="B48" s="81" t="s">
        <v>114</v>
      </c>
      <c r="C48" s="10" t="s">
        <v>115</v>
      </c>
      <c r="D48" s="26">
        <f>VLOOKUP(A47,EVENTS!A:N,14,FALSE)</f>
        <v>-340778.89283799409</v>
      </c>
      <c r="E48" s="26">
        <v>-299557.45500470273</v>
      </c>
      <c r="F48" s="26">
        <v>-299557</v>
      </c>
      <c r="G48" s="26">
        <v>-290111.51975720294</v>
      </c>
      <c r="H48" s="26">
        <v>-213728</v>
      </c>
      <c r="I48" s="26">
        <v>-287167.62614134478</v>
      </c>
      <c r="J48" s="26">
        <v>-255265</v>
      </c>
      <c r="K48" s="26">
        <v>-260530.02438163524</v>
      </c>
      <c r="L48" s="26">
        <v>-132650</v>
      </c>
      <c r="M48" s="20">
        <v>-276954.08674257825</v>
      </c>
      <c r="N48" s="26">
        <v>-243088.56</v>
      </c>
      <c r="O48" s="31">
        <f>D48-I48</f>
        <v>-53611.266696649313</v>
      </c>
      <c r="P48" s="31"/>
      <c r="Q48" s="31"/>
      <c r="R48" s="31"/>
      <c r="S48" s="31"/>
      <c r="T48" s="31"/>
      <c r="U48" s="31"/>
      <c r="V48" s="31"/>
      <c r="W48" s="32"/>
      <c r="X48" s="32"/>
      <c r="Y48" s="32"/>
      <c r="Z48" s="32"/>
      <c r="AA48" s="32"/>
    </row>
    <row r="49" spans="1:44" s="24" customFormat="1" x14ac:dyDescent="0.25">
      <c r="A49" s="18" t="s">
        <v>29</v>
      </c>
      <c r="B49" s="81" t="s">
        <v>116</v>
      </c>
      <c r="C49" s="10" t="s">
        <v>116</v>
      </c>
      <c r="D49" s="26">
        <f>VLOOKUP(A49,GSC!1:1048576,14,FALSE)</f>
        <v>-225197.18484160182</v>
      </c>
      <c r="E49" s="83">
        <v>0</v>
      </c>
      <c r="F49" s="83">
        <v>0</v>
      </c>
      <c r="G49" s="83">
        <v>0</v>
      </c>
      <c r="H49" s="288">
        <v>0</v>
      </c>
      <c r="I49" s="83">
        <v>0</v>
      </c>
      <c r="J49" s="83">
        <v>0</v>
      </c>
      <c r="K49" s="83">
        <v>0</v>
      </c>
      <c r="L49" s="83">
        <v>0</v>
      </c>
      <c r="M49" s="20"/>
      <c r="N49" s="26"/>
      <c r="O49" s="31"/>
      <c r="P49" s="31"/>
      <c r="Q49" s="31"/>
      <c r="R49" s="31"/>
      <c r="S49" s="31"/>
      <c r="T49" s="31"/>
      <c r="U49" s="31"/>
      <c r="V49" s="31"/>
      <c r="W49" s="32"/>
      <c r="X49" s="32"/>
      <c r="Y49" s="32"/>
      <c r="Z49" s="32"/>
      <c r="AA49" s="32"/>
    </row>
    <row r="50" spans="1:44" s="24" customFormat="1" x14ac:dyDescent="0.25">
      <c r="A50" s="18" t="s">
        <v>29</v>
      </c>
      <c r="B50" s="81" t="s">
        <v>117</v>
      </c>
      <c r="C50" s="10" t="s">
        <v>118</v>
      </c>
      <c r="D50" s="26">
        <f>VLOOKUP(A50,MKTG!A:N,14,FALSE)</f>
        <v>-157979.13050633069</v>
      </c>
      <c r="E50" s="26">
        <v>-333917.10865748778</v>
      </c>
      <c r="F50" s="26">
        <v>-310151</v>
      </c>
      <c r="G50" s="26">
        <v>-278578.84380427666</v>
      </c>
      <c r="H50" s="26">
        <v>-274856</v>
      </c>
      <c r="I50" s="26">
        <v>-220594.32006486948</v>
      </c>
      <c r="J50" s="26">
        <v>-221123</v>
      </c>
      <c r="K50" s="26">
        <v>-202269.0148432877</v>
      </c>
      <c r="L50" s="26">
        <v>-115451</v>
      </c>
      <c r="M50" s="20">
        <v>-255773.39700755477</v>
      </c>
      <c r="N50" s="26">
        <v>-212353.55</v>
      </c>
      <c r="O50" s="31">
        <f>D50-I50</f>
        <v>62615.189558538783</v>
      </c>
      <c r="P50" s="31"/>
      <c r="Q50" s="31"/>
      <c r="R50" s="31"/>
      <c r="S50" s="31"/>
      <c r="T50" s="31"/>
      <c r="U50" s="31"/>
      <c r="V50" s="31"/>
      <c r="W50" s="32"/>
      <c r="X50" s="32"/>
      <c r="Y50" s="32"/>
      <c r="Z50" s="32"/>
      <c r="AA50" s="32"/>
    </row>
    <row r="51" spans="1:44" s="24" customFormat="1" ht="15.75" customHeight="1" x14ac:dyDescent="0.25">
      <c r="A51" s="18" t="s">
        <v>29</v>
      </c>
      <c r="B51" s="81" t="s">
        <v>119</v>
      </c>
      <c r="C51" s="10" t="s">
        <v>120</v>
      </c>
      <c r="D51" s="26">
        <f>VLOOKUP(A51,CREATIVE!A:N,14,FALSE)</f>
        <v>-149085.56708344605</v>
      </c>
      <c r="E51" s="26">
        <v>-204465.00133794147</v>
      </c>
      <c r="F51" s="26">
        <v>-165364</v>
      </c>
      <c r="G51" s="26">
        <v>-162101.32325463273</v>
      </c>
      <c r="H51" s="26">
        <v>-136870</v>
      </c>
      <c r="I51" s="26">
        <v>-184349.60815069996</v>
      </c>
      <c r="J51" s="26">
        <v>-108143</v>
      </c>
      <c r="K51" s="26">
        <v>-148735.7862439875</v>
      </c>
      <c r="L51" s="26">
        <v>-74059</v>
      </c>
      <c r="M51" s="20">
        <v>-128283.80704079483</v>
      </c>
      <c r="N51" s="26">
        <v>-207239.55</v>
      </c>
      <c r="O51" s="31">
        <f>D51-I51</f>
        <v>35264.041067253915</v>
      </c>
      <c r="P51" s="31"/>
      <c r="Q51" s="31"/>
      <c r="R51" s="31"/>
      <c r="S51" s="31"/>
      <c r="T51" s="31"/>
      <c r="U51" s="31"/>
      <c r="V51" s="31"/>
      <c r="W51" s="32"/>
      <c r="X51" s="32"/>
      <c r="Y51" s="32"/>
      <c r="Z51" s="32"/>
      <c r="AA51" s="32"/>
    </row>
    <row r="52" spans="1:44" s="24" customFormat="1" x14ac:dyDescent="0.25">
      <c r="A52" s="18" t="s">
        <v>29</v>
      </c>
      <c r="B52" s="81" t="s">
        <v>121</v>
      </c>
      <c r="C52" s="22" t="s">
        <v>122</v>
      </c>
      <c r="D52" s="26">
        <f>VLOOKUP(A52,VOL!A:N,14,FALSE)</f>
        <v>-255105.83862043073</v>
      </c>
      <c r="E52" s="26">
        <v>-231999.63675937222</v>
      </c>
      <c r="F52" s="26">
        <v>-218212</v>
      </c>
      <c r="G52" s="26">
        <v>-229107.57362683464</v>
      </c>
      <c r="H52" s="26">
        <v>-212330</v>
      </c>
      <c r="I52" s="26">
        <v>-211494.07912405825</v>
      </c>
      <c r="J52" s="26">
        <v>-197428</v>
      </c>
      <c r="K52" s="26">
        <v>-212075.66203674761</v>
      </c>
      <c r="L52" s="26">
        <v>-131322</v>
      </c>
      <c r="M52" s="20">
        <v>-216285.79645562798</v>
      </c>
      <c r="N52" s="26">
        <v>-168499.76</v>
      </c>
      <c r="O52" s="31">
        <f>D52-I52</f>
        <v>-43611.759496372484</v>
      </c>
      <c r="P52" s="31"/>
      <c r="Q52" s="31"/>
      <c r="R52" s="31"/>
      <c r="S52" s="31"/>
      <c r="T52" s="31"/>
      <c r="U52" s="31"/>
      <c r="V52" s="31"/>
      <c r="W52" s="32"/>
      <c r="X52" s="32"/>
      <c r="Y52" s="32"/>
      <c r="Z52" s="32"/>
      <c r="AA52" s="32"/>
    </row>
    <row r="53" spans="1:44" s="8" customFormat="1" x14ac:dyDescent="0.25">
      <c r="A53" s="18" t="s">
        <v>29</v>
      </c>
      <c r="B53" s="10" t="s">
        <v>73</v>
      </c>
      <c r="C53" s="10" t="s">
        <v>123</v>
      </c>
      <c r="D53" s="26">
        <f>VLOOKUP(A53,'STU INNOV'!A:N,14,FALSE)</f>
        <v>-110484.02458843973</v>
      </c>
      <c r="E53" s="26">
        <v>-119601.9779725672</v>
      </c>
      <c r="F53" s="26">
        <v>-88494</v>
      </c>
      <c r="G53" s="26">
        <v>-112584.77554565693</v>
      </c>
      <c r="H53" s="26">
        <v>-90329</v>
      </c>
      <c r="I53" s="26">
        <v>-139694.40847340005</v>
      </c>
      <c r="J53" s="26">
        <v>-117470</v>
      </c>
      <c r="K53" s="26">
        <v>0</v>
      </c>
      <c r="L53" s="26">
        <v>-42630</v>
      </c>
      <c r="M53" s="26">
        <v>0</v>
      </c>
      <c r="N53" s="26">
        <v>0</v>
      </c>
      <c r="O53" s="62"/>
      <c r="P53" s="62"/>
      <c r="Q53" s="62"/>
      <c r="R53" s="62"/>
      <c r="S53" s="62"/>
      <c r="T53" s="62"/>
      <c r="U53" s="62"/>
      <c r="V53" s="62"/>
      <c r="W53" s="63"/>
      <c r="X53" s="63"/>
      <c r="Y53" s="63"/>
      <c r="Z53" s="63"/>
      <c r="AA53" s="63"/>
      <c r="AC53" s="71"/>
      <c r="AE53" s="72"/>
      <c r="AP53" s="73"/>
      <c r="AQ53" s="71"/>
      <c r="AR53" s="70"/>
    </row>
    <row r="54" spans="1:44" s="47" customFormat="1" x14ac:dyDescent="0.25">
      <c r="A54" s="56"/>
      <c r="B54" s="57"/>
      <c r="C54" s="21" t="s">
        <v>124</v>
      </c>
      <c r="D54" s="26"/>
      <c r="E54" s="26"/>
      <c r="F54" s="26"/>
      <c r="G54" s="26"/>
      <c r="H54" s="26"/>
      <c r="I54" s="26"/>
      <c r="J54" s="26"/>
      <c r="K54" s="26"/>
      <c r="L54" s="26"/>
      <c r="M54" s="41"/>
      <c r="N54" s="41"/>
      <c r="O54" s="31"/>
      <c r="P54" s="31"/>
      <c r="Q54" s="31"/>
      <c r="R54" s="31"/>
      <c r="S54" s="31"/>
      <c r="T54" s="31"/>
      <c r="U54" s="31"/>
      <c r="V54" s="31"/>
      <c r="W54" s="32"/>
      <c r="X54" s="32"/>
      <c r="Y54" s="32"/>
      <c r="Z54" s="32"/>
      <c r="AA54" s="32"/>
    </row>
    <row r="55" spans="1:44" customFormat="1" ht="15.75" x14ac:dyDescent="0.25">
      <c r="A55" s="86" t="s">
        <v>29</v>
      </c>
      <c r="B55" s="42" t="s">
        <v>125</v>
      </c>
      <c r="C55" s="22" t="s">
        <v>126</v>
      </c>
      <c r="D55" s="26">
        <f>VLOOKUP(A55,ADMIN!A:N,14,FALSE)</f>
        <v>-743759.63018478639</v>
      </c>
      <c r="E55" s="26">
        <v>-699015.73080733453</v>
      </c>
      <c r="F55" s="26">
        <v>-645402</v>
      </c>
      <c r="G55" s="26">
        <v>-620694.43036411167</v>
      </c>
      <c r="H55" s="26">
        <v>-580874</v>
      </c>
      <c r="I55" s="26">
        <v>-579879.3174670313</v>
      </c>
      <c r="J55" s="26">
        <v>-527650</v>
      </c>
      <c r="K55" s="26">
        <v>-558886.94138687255</v>
      </c>
      <c r="L55" s="26">
        <v>-363647</v>
      </c>
      <c r="M55" s="20">
        <v>-559072.63888831041</v>
      </c>
      <c r="N55" s="26">
        <v>-444652.04</v>
      </c>
      <c r="O55" s="31">
        <f>D55-I55</f>
        <v>-163880.31271775509</v>
      </c>
      <c r="P55" s="31"/>
      <c r="Q55" s="31"/>
      <c r="R55" s="31"/>
      <c r="S55" s="31"/>
      <c r="T55" s="31"/>
      <c r="U55" s="31"/>
      <c r="V55" s="31"/>
      <c r="W55" s="32"/>
      <c r="X55" s="32"/>
      <c r="Y55" s="32"/>
      <c r="Z55" s="32"/>
      <c r="AA55" s="32"/>
    </row>
    <row r="56" spans="1:44" customFormat="1" ht="15.75" x14ac:dyDescent="0.25">
      <c r="A56" s="86" t="s">
        <v>29</v>
      </c>
      <c r="B56" s="42" t="s">
        <v>127</v>
      </c>
      <c r="C56" s="22" t="s">
        <v>128</v>
      </c>
      <c r="D56" s="26">
        <f>VLOOKUP(A56,FINANCE!A:N,14,FALSE)</f>
        <v>-594469.06350377784</v>
      </c>
      <c r="E56" s="26">
        <v>-609802.65662336873</v>
      </c>
      <c r="F56" s="26">
        <v>-609803</v>
      </c>
      <c r="G56" s="26">
        <v>-560209.80734340427</v>
      </c>
      <c r="H56" s="26">
        <v>-529201</v>
      </c>
      <c r="I56" s="26">
        <v>-541131.77943365462</v>
      </c>
      <c r="J56" s="26">
        <v>-528846</v>
      </c>
      <c r="K56" s="26">
        <v>-645780.15914609202</v>
      </c>
      <c r="L56" s="26">
        <v>-483232</v>
      </c>
      <c r="M56" s="20">
        <v>-651214.69156293117</v>
      </c>
      <c r="N56" s="26">
        <v>-620839.36</v>
      </c>
      <c r="O56" s="31">
        <f>D56-I56</f>
        <v>-53337.28407012322</v>
      </c>
      <c r="P56" s="31"/>
      <c r="Q56" s="31"/>
      <c r="R56" s="31"/>
      <c r="S56" s="31"/>
      <c r="T56" s="31"/>
      <c r="U56" s="31"/>
      <c r="V56" s="31"/>
      <c r="W56" s="32"/>
      <c r="X56" s="32"/>
      <c r="Y56" s="32"/>
      <c r="Z56" s="32"/>
      <c r="AA56" s="32"/>
      <c r="AC56" s="87"/>
    </row>
    <row r="57" spans="1:44" customFormat="1" ht="15.75" x14ac:dyDescent="0.25">
      <c r="A57" s="86" t="s">
        <v>29</v>
      </c>
      <c r="B57" s="42" t="s">
        <v>129</v>
      </c>
      <c r="C57" s="22" t="s">
        <v>130</v>
      </c>
      <c r="D57" s="26">
        <f>VLOOKUP(A57,IT!A:N,14,FALSE)</f>
        <v>-272808.50712419243</v>
      </c>
      <c r="E57" s="26">
        <v>-219102.78093133579</v>
      </c>
      <c r="F57" s="26">
        <v>-200811</v>
      </c>
      <c r="G57" s="26">
        <v>-197875.22395429495</v>
      </c>
      <c r="H57" s="26">
        <v>-185442</v>
      </c>
      <c r="I57" s="26">
        <v>-190638.38690924132</v>
      </c>
      <c r="J57" s="26">
        <v>-187116</v>
      </c>
      <c r="K57" s="26">
        <v>-200638.41832864506</v>
      </c>
      <c r="L57" s="26">
        <v>-112268</v>
      </c>
      <c r="M57" s="20">
        <v>-140026.87827698933</v>
      </c>
      <c r="N57" s="26">
        <v>-118251.72</v>
      </c>
      <c r="O57" s="31">
        <f>D57-I57</f>
        <v>-82170.120214951108</v>
      </c>
      <c r="P57" s="31"/>
      <c r="Q57" s="31"/>
      <c r="R57" s="31"/>
      <c r="S57" s="31"/>
      <c r="T57" s="31"/>
      <c r="U57" s="31"/>
      <c r="V57" s="31"/>
      <c r="W57" s="32"/>
      <c r="X57" s="32"/>
      <c r="Y57" s="32"/>
      <c r="Z57" s="32"/>
      <c r="AA57" s="32"/>
    </row>
    <row r="58" spans="1:44" s="24" customFormat="1" x14ac:dyDescent="0.25">
      <c r="A58" s="18"/>
      <c r="B58" s="19"/>
      <c r="C58" s="10"/>
      <c r="D58" s="26"/>
      <c r="E58" s="26"/>
      <c r="F58" s="26"/>
      <c r="G58" s="26"/>
      <c r="H58" s="26"/>
      <c r="I58" s="26"/>
      <c r="J58" s="26"/>
      <c r="K58" s="26"/>
      <c r="L58" s="26"/>
      <c r="M58" s="20"/>
      <c r="N58" s="41"/>
      <c r="O58" s="31"/>
      <c r="P58" s="31"/>
      <c r="Q58" s="31"/>
      <c r="R58" s="31"/>
      <c r="S58" s="31"/>
      <c r="T58" s="31"/>
      <c r="U58" s="31"/>
      <c r="V58" s="31"/>
      <c r="W58" s="32"/>
      <c r="X58" s="32"/>
      <c r="Y58" s="32"/>
      <c r="Z58" s="32"/>
      <c r="AA58" s="32"/>
    </row>
    <row r="59" spans="1:44" s="47" customFormat="1" x14ac:dyDescent="0.25">
      <c r="A59" s="56"/>
      <c r="B59" s="57"/>
      <c r="C59" s="58" t="s">
        <v>131</v>
      </c>
      <c r="D59" s="59">
        <f>SUM(D23:D58)</f>
        <v>-4380322.5635676468</v>
      </c>
      <c r="E59" s="59">
        <f t="shared" ref="E59:F59" si="2">SUM(E23:E58)</f>
        <v>-4159373.0142932381</v>
      </c>
      <c r="F59" s="59">
        <f t="shared" si="2"/>
        <v>-3936423</v>
      </c>
      <c r="G59" s="59">
        <f t="shared" ref="G59:N59" si="3">SUM(G23:G58)</f>
        <v>-3941700.8578253654</v>
      </c>
      <c r="H59" s="59">
        <f t="shared" si="3"/>
        <v>-3585984.5700000003</v>
      </c>
      <c r="I59" s="59">
        <f t="shared" si="3"/>
        <v>-3856059.5363610568</v>
      </c>
      <c r="J59" s="59">
        <f>SUM(J23:J58)</f>
        <v>-3507194.01</v>
      </c>
      <c r="K59" s="59">
        <f t="shared" si="3"/>
        <v>-3452378.6007093973</v>
      </c>
      <c r="L59" s="59">
        <f t="shared" si="3"/>
        <v>-2460699.9500000002</v>
      </c>
      <c r="M59" s="59">
        <f t="shared" si="3"/>
        <v>-3544111.9745265567</v>
      </c>
      <c r="N59" s="59">
        <f t="shared" si="3"/>
        <v>-3085239.9</v>
      </c>
      <c r="O59" s="31"/>
      <c r="P59" s="31"/>
      <c r="Q59" s="31"/>
      <c r="R59" s="31"/>
      <c r="S59" s="31"/>
      <c r="T59" s="31"/>
      <c r="U59" s="31"/>
      <c r="V59" s="31"/>
      <c r="W59" s="32"/>
      <c r="X59" s="32"/>
      <c r="Y59" s="32"/>
      <c r="Z59" s="32"/>
      <c r="AA59" s="32"/>
    </row>
    <row r="60" spans="1:44" s="24" customFormat="1" x14ac:dyDescent="0.25">
      <c r="A60" s="18"/>
      <c r="B60" s="19"/>
      <c r="C60" s="10"/>
      <c r="D60" s="26" t="s">
        <v>132</v>
      </c>
      <c r="E60" s="26" t="s">
        <v>132</v>
      </c>
      <c r="F60" s="26" t="s">
        <v>132</v>
      </c>
      <c r="G60" s="26"/>
      <c r="H60" s="26"/>
      <c r="I60" s="26"/>
      <c r="J60" s="26"/>
      <c r="K60" s="26"/>
      <c r="L60" s="26"/>
      <c r="M60" s="20"/>
      <c r="N60" s="20"/>
      <c r="O60" s="31"/>
      <c r="P60" s="31"/>
      <c r="Q60" s="31"/>
      <c r="R60" s="31"/>
      <c r="S60" s="31"/>
      <c r="T60" s="31"/>
      <c r="U60" s="31"/>
      <c r="V60" s="31"/>
      <c r="W60" s="32"/>
      <c r="X60" s="32"/>
      <c r="Y60" s="32"/>
      <c r="Z60" s="32"/>
      <c r="AA60" s="32"/>
      <c r="AB60" s="88"/>
    </row>
    <row r="61" spans="1:44" s="47" customFormat="1" ht="15.75" thickBot="1" x14ac:dyDescent="0.3">
      <c r="A61" s="56"/>
      <c r="B61" s="57"/>
      <c r="C61" s="218" t="s">
        <v>133</v>
      </c>
      <c r="D61" s="97">
        <f t="shared" ref="D61:L61" si="4">D21+D59</f>
        <v>-540630.45538541069</v>
      </c>
      <c r="E61" s="97">
        <f t="shared" ref="E61:F61" si="5">E21+E59</f>
        <v>-754904.91338463174</v>
      </c>
      <c r="F61" s="97">
        <f t="shared" si="5"/>
        <v>-433414</v>
      </c>
      <c r="G61" s="97">
        <f t="shared" si="4"/>
        <v>-656801.00254113926</v>
      </c>
      <c r="H61" s="97">
        <f t="shared" si="4"/>
        <v>-453128.96000000043</v>
      </c>
      <c r="I61" s="97">
        <f t="shared" si="4"/>
        <v>-785381.48359950539</v>
      </c>
      <c r="J61" s="97">
        <f t="shared" si="4"/>
        <v>-318128.88999999966</v>
      </c>
      <c r="K61" s="97">
        <f t="shared" si="4"/>
        <v>-257884.78253025468</v>
      </c>
      <c r="L61" s="97">
        <f t="shared" si="4"/>
        <v>722060.04999999981</v>
      </c>
      <c r="M61" s="97">
        <f>M21+M59-4</f>
        <v>-536956.40277978405</v>
      </c>
      <c r="N61" s="97">
        <f>N21+N59-4</f>
        <v>209247.3200000003</v>
      </c>
      <c r="O61" s="91"/>
      <c r="P61" s="91"/>
      <c r="Q61" s="91"/>
      <c r="R61" s="91"/>
      <c r="S61" s="91"/>
      <c r="T61" s="91"/>
      <c r="U61" s="91"/>
      <c r="V61" s="91"/>
      <c r="W61" s="92"/>
      <c r="X61" s="92"/>
      <c r="Y61" s="92"/>
      <c r="Z61" s="92"/>
      <c r="AA61" s="92"/>
      <c r="AB61" s="219"/>
    </row>
    <row r="62" spans="1:44" s="47" customFormat="1" x14ac:dyDescent="0.25">
      <c r="A62" s="56"/>
      <c r="B62" s="57"/>
      <c r="C62" s="21" t="s">
        <v>134</v>
      </c>
      <c r="D62" s="90"/>
      <c r="E62" s="90"/>
      <c r="F62" s="90"/>
      <c r="G62" s="90"/>
      <c r="H62" s="90"/>
      <c r="I62" s="90"/>
      <c r="J62" s="90"/>
      <c r="K62" s="90"/>
      <c r="L62" s="90"/>
      <c r="M62" s="89"/>
      <c r="N62" s="89"/>
      <c r="O62" s="31"/>
      <c r="P62" s="31"/>
      <c r="Q62" s="31"/>
      <c r="R62" s="31"/>
      <c r="S62" s="31"/>
      <c r="T62" s="31"/>
      <c r="U62" s="31"/>
      <c r="V62" s="31"/>
      <c r="W62" s="32"/>
      <c r="X62" s="32"/>
      <c r="Y62" s="32"/>
      <c r="Z62" s="32"/>
      <c r="AA62" s="32"/>
    </row>
    <row r="63" spans="1:44" s="24" customFormat="1" x14ac:dyDescent="0.25">
      <c r="A63" s="86" t="s">
        <v>135</v>
      </c>
      <c r="B63" s="25" t="s">
        <v>21</v>
      </c>
      <c r="C63" s="10" t="s">
        <v>136</v>
      </c>
      <c r="D63" s="26">
        <f>VLOOKUP(A63,INV!A:N,14,FALSE)</f>
        <v>276000</v>
      </c>
      <c r="E63" s="26">
        <v>276000</v>
      </c>
      <c r="F63" s="26">
        <v>276000</v>
      </c>
      <c r="G63" s="26">
        <v>276000</v>
      </c>
      <c r="H63" s="26">
        <v>-105109</v>
      </c>
      <c r="I63" s="26">
        <v>250000.00000000003</v>
      </c>
      <c r="J63" s="26">
        <v>710886</v>
      </c>
      <c r="K63" s="26">
        <v>250000.00000000003</v>
      </c>
      <c r="L63" s="26">
        <v>172710.5</v>
      </c>
      <c r="M63" s="20">
        <v>250000.00000000003</v>
      </c>
      <c r="N63" s="10">
        <v>442449.69</v>
      </c>
      <c r="O63" s="31"/>
      <c r="P63" s="31"/>
      <c r="Q63" s="31"/>
      <c r="R63" s="31"/>
      <c r="S63" s="31"/>
      <c r="T63" s="31"/>
      <c r="U63" s="31"/>
      <c r="V63" s="31"/>
      <c r="W63" s="32"/>
      <c r="X63" s="32"/>
      <c r="Y63" s="32"/>
      <c r="Z63" s="32"/>
      <c r="AA63" s="32"/>
    </row>
    <row r="64" spans="1:44" s="24" customFormat="1" x14ac:dyDescent="0.25">
      <c r="A64" s="86" t="s">
        <v>137</v>
      </c>
      <c r="B64" s="25" t="s">
        <v>21</v>
      </c>
      <c r="C64" s="10" t="s">
        <v>138</v>
      </c>
      <c r="D64" s="83">
        <v>0</v>
      </c>
      <c r="E64" s="83">
        <v>0</v>
      </c>
      <c r="F64" s="83">
        <v>0</v>
      </c>
      <c r="G64" s="83">
        <v>0</v>
      </c>
      <c r="H64" s="288">
        <v>50</v>
      </c>
      <c r="I64" s="83">
        <v>0</v>
      </c>
      <c r="J64" s="26">
        <v>240</v>
      </c>
      <c r="K64" s="26">
        <v>0</v>
      </c>
      <c r="L64" s="26">
        <v>1315</v>
      </c>
      <c r="M64" s="20">
        <v>0</v>
      </c>
      <c r="N64" s="20">
        <v>1062.58</v>
      </c>
      <c r="O64" s="31"/>
      <c r="P64" s="31"/>
      <c r="Q64" s="31"/>
      <c r="R64" s="31"/>
      <c r="S64" s="31"/>
      <c r="T64" s="31"/>
      <c r="U64" s="31"/>
      <c r="V64" s="31"/>
      <c r="W64" s="32"/>
      <c r="X64" s="32"/>
      <c r="Y64" s="32"/>
      <c r="Z64" s="32"/>
      <c r="AA64" s="32"/>
    </row>
    <row r="65" spans="1:70" s="24" customFormat="1" x14ac:dyDescent="0.25">
      <c r="A65" s="86" t="s">
        <v>29</v>
      </c>
      <c r="B65" s="42"/>
      <c r="C65" s="10" t="s">
        <v>139</v>
      </c>
      <c r="D65" s="83">
        <v>0</v>
      </c>
      <c r="E65" s="83">
        <v>0</v>
      </c>
      <c r="F65" s="83">
        <v>0</v>
      </c>
      <c r="G65" s="83">
        <v>0</v>
      </c>
      <c r="H65" s="288">
        <v>0</v>
      </c>
      <c r="I65" s="83">
        <v>0</v>
      </c>
      <c r="J65" s="26">
        <v>0</v>
      </c>
      <c r="K65" s="26">
        <v>0</v>
      </c>
      <c r="L65" s="26">
        <v>0</v>
      </c>
      <c r="M65" s="20">
        <v>0</v>
      </c>
      <c r="N65" s="20">
        <v>0</v>
      </c>
      <c r="O65" s="31"/>
      <c r="P65" s="31"/>
      <c r="Q65" s="31"/>
      <c r="R65" s="31"/>
      <c r="S65" s="31"/>
      <c r="T65" s="31"/>
      <c r="U65" s="31"/>
      <c r="V65" s="31"/>
      <c r="W65" s="32"/>
      <c r="X65" s="32"/>
      <c r="Y65" s="32"/>
      <c r="Z65" s="32"/>
      <c r="AA65" s="32"/>
    </row>
    <row r="66" spans="1:70" s="24" customFormat="1" x14ac:dyDescent="0.25">
      <c r="A66" s="86" t="s">
        <v>140</v>
      </c>
      <c r="B66" s="25" t="s">
        <v>21</v>
      </c>
      <c r="C66" s="10" t="s">
        <v>141</v>
      </c>
      <c r="D66" s="26">
        <f>VLOOKUP(A66,INV!A:N,14,FALSE)</f>
        <v>-15000</v>
      </c>
      <c r="E66" s="26">
        <v>-15000</v>
      </c>
      <c r="F66" s="26">
        <v>-15000</v>
      </c>
      <c r="G66" s="26">
        <v>-15000</v>
      </c>
      <c r="H66" s="26">
        <v>-4781.82</v>
      </c>
      <c r="I66" s="26">
        <v>-15000</v>
      </c>
      <c r="J66" s="26">
        <v>-5287.03</v>
      </c>
      <c r="K66" s="26">
        <f>VLOOKUP(A66,INV!A:N,14,FALSE)</f>
        <v>-15000</v>
      </c>
      <c r="L66" s="26">
        <v>-16422</v>
      </c>
      <c r="M66" s="20">
        <v>-15000</v>
      </c>
      <c r="N66" s="20">
        <v>-11166.37</v>
      </c>
      <c r="O66" s="31"/>
      <c r="P66" s="31"/>
      <c r="Q66" s="31"/>
      <c r="R66" s="31"/>
      <c r="S66" s="31"/>
      <c r="T66" s="31"/>
      <c r="U66" s="31"/>
      <c r="V66" s="31"/>
      <c r="W66" s="32"/>
      <c r="X66" s="32"/>
      <c r="Y66" s="32"/>
      <c r="Z66" s="32"/>
      <c r="AA66" s="32"/>
    </row>
    <row r="67" spans="1:70" s="47" customFormat="1" x14ac:dyDescent="0.25">
      <c r="A67" s="56"/>
      <c r="B67" s="57"/>
      <c r="C67" s="58" t="s">
        <v>142</v>
      </c>
      <c r="D67" s="59">
        <f t="shared" ref="D67:N67" si="6">SUM(D63:D66)</f>
        <v>261000</v>
      </c>
      <c r="E67" s="59">
        <f t="shared" ref="E67:F67" si="7">SUM(E63:E66)</f>
        <v>261000</v>
      </c>
      <c r="F67" s="59">
        <f t="shared" si="7"/>
        <v>261000</v>
      </c>
      <c r="G67" s="59">
        <f>SUM(G63:G66)</f>
        <v>261000</v>
      </c>
      <c r="H67" s="59">
        <f>SUM(H63:H66)</f>
        <v>-109840.82</v>
      </c>
      <c r="I67" s="59">
        <f>SUM(I63:I66)</f>
        <v>235000.00000000003</v>
      </c>
      <c r="J67" s="59">
        <f>SUM(J63:J66)</f>
        <v>705838.97</v>
      </c>
      <c r="K67" s="59">
        <f t="shared" si="6"/>
        <v>235000.00000000003</v>
      </c>
      <c r="L67" s="59">
        <f>SUM(L63:L66)</f>
        <v>157603.5</v>
      </c>
      <c r="M67" s="59">
        <f t="shared" si="6"/>
        <v>235000.00000000003</v>
      </c>
      <c r="N67" s="59">
        <f t="shared" si="6"/>
        <v>432345.9</v>
      </c>
      <c r="O67" s="91"/>
      <c r="P67" s="91"/>
      <c r="Q67" s="91"/>
      <c r="R67" s="91"/>
      <c r="S67" s="91"/>
      <c r="T67" s="91"/>
      <c r="U67" s="91"/>
      <c r="V67" s="91"/>
      <c r="W67" s="92"/>
      <c r="X67" s="92"/>
      <c r="Y67" s="92"/>
      <c r="Z67" s="92"/>
      <c r="AA67" s="92"/>
    </row>
    <row r="68" spans="1:70" s="24" customFormat="1" x14ac:dyDescent="0.25">
      <c r="A68" s="18"/>
      <c r="B68" s="19"/>
      <c r="C68" s="10"/>
      <c r="D68" s="26"/>
      <c r="E68" s="26"/>
      <c r="F68" s="26"/>
      <c r="G68" s="26"/>
      <c r="H68" s="26"/>
      <c r="I68" s="26"/>
      <c r="J68" s="26"/>
      <c r="K68" s="26"/>
      <c r="L68" s="26"/>
      <c r="M68" s="20"/>
      <c r="N68" s="20"/>
      <c r="O68" s="19"/>
      <c r="P68" s="19"/>
      <c r="Q68" s="19"/>
      <c r="R68" s="19"/>
      <c r="S68" s="19"/>
      <c r="T68" s="19"/>
      <c r="U68" s="19"/>
      <c r="V68" s="19"/>
    </row>
    <row r="69" spans="1:70" s="8" customFormat="1" ht="15.75" thickBot="1" x14ac:dyDescent="0.3">
      <c r="A69" s="93"/>
      <c r="B69" s="94"/>
      <c r="C69" s="96" t="s">
        <v>143</v>
      </c>
      <c r="D69" s="97">
        <f t="shared" ref="D69:N69" si="8">D61+D67+4</f>
        <v>-279626.45538541069</v>
      </c>
      <c r="E69" s="97">
        <f t="shared" ref="E69:F69" si="9">E61+E67+4</f>
        <v>-493900.91338463174</v>
      </c>
      <c r="F69" s="97">
        <f t="shared" si="9"/>
        <v>-172410</v>
      </c>
      <c r="G69" s="97">
        <f t="shared" si="8"/>
        <v>-395797.00254113926</v>
      </c>
      <c r="H69" s="97">
        <f t="shared" si="8"/>
        <v>-562965.78000000049</v>
      </c>
      <c r="I69" s="97">
        <f t="shared" si="8"/>
        <v>-550377.48359950539</v>
      </c>
      <c r="J69" s="97">
        <f>J61+J67</f>
        <v>387710.08000000031</v>
      </c>
      <c r="K69" s="97">
        <f t="shared" si="8"/>
        <v>-22880.782530254655</v>
      </c>
      <c r="L69" s="97">
        <f t="shared" si="8"/>
        <v>879667.54999999981</v>
      </c>
      <c r="M69" s="97">
        <f t="shared" si="8"/>
        <v>-301952.40277978405</v>
      </c>
      <c r="N69" s="95">
        <f t="shared" si="8"/>
        <v>641597.22000000032</v>
      </c>
      <c r="O69" s="7"/>
      <c r="P69" s="7"/>
      <c r="Q69" s="7"/>
      <c r="R69" s="7"/>
      <c r="S69" s="7"/>
      <c r="T69" s="7"/>
      <c r="U69" s="7"/>
      <c r="V69" s="7"/>
    </row>
    <row r="70" spans="1:70" hidden="1" x14ac:dyDescent="0.25">
      <c r="A70" s="1"/>
      <c r="B70" s="2"/>
      <c r="C70" s="98" t="s">
        <v>144</v>
      </c>
      <c r="D70" s="99"/>
      <c r="E70" s="99"/>
      <c r="F70" s="99"/>
      <c r="G70" s="99"/>
      <c r="H70" s="223"/>
      <c r="I70" s="99"/>
      <c r="J70" s="99"/>
      <c r="K70" s="223"/>
      <c r="L70" s="99"/>
      <c r="M70" s="100"/>
      <c r="N70" s="101"/>
      <c r="O70" s="19"/>
      <c r="P70" s="19"/>
      <c r="Q70" s="19"/>
      <c r="R70" s="19"/>
      <c r="S70" s="19"/>
      <c r="T70" s="19"/>
      <c r="U70" s="19"/>
      <c r="V70" s="19"/>
      <c r="W70" s="24"/>
      <c r="X70" s="24"/>
      <c r="Y70" s="24"/>
      <c r="Z70" s="24"/>
      <c r="AA70" s="24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</row>
    <row r="71" spans="1:70" hidden="1" x14ac:dyDescent="0.25">
      <c r="A71" s="9"/>
      <c r="B71" s="7"/>
      <c r="C71" s="12" t="s">
        <v>145</v>
      </c>
      <c r="D71" s="27"/>
      <c r="E71" s="27"/>
      <c r="F71" s="27"/>
      <c r="G71" s="27"/>
      <c r="H71" s="26"/>
      <c r="I71" s="27"/>
      <c r="J71" s="27"/>
      <c r="K71" s="26"/>
      <c r="L71" s="27"/>
      <c r="M71" s="20"/>
      <c r="N71" s="41">
        <v>-51271.080000000133</v>
      </c>
      <c r="O71" s="19"/>
      <c r="P71" s="19"/>
      <c r="Q71" s="19"/>
      <c r="R71" s="19"/>
      <c r="S71" s="19"/>
      <c r="T71" s="19"/>
      <c r="U71" s="19"/>
      <c r="V71" s="19"/>
      <c r="W71" s="24"/>
      <c r="X71" s="24"/>
      <c r="Y71" s="24"/>
      <c r="Z71" s="24"/>
      <c r="AA71" s="24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</row>
    <row r="72" spans="1:70" hidden="1" x14ac:dyDescent="0.25">
      <c r="A72" s="9"/>
      <c r="B72" s="7"/>
      <c r="C72" s="12" t="s">
        <v>146</v>
      </c>
      <c r="D72" s="27"/>
      <c r="E72" s="27"/>
      <c r="F72" s="27"/>
      <c r="G72" s="27"/>
      <c r="H72" s="26"/>
      <c r="I72" s="27"/>
      <c r="J72" s="27"/>
      <c r="K72" s="26"/>
      <c r="L72" s="27"/>
      <c r="M72" s="20"/>
      <c r="N72" s="41">
        <v>382303.06</v>
      </c>
      <c r="O72" s="19"/>
      <c r="P72" s="19"/>
      <c r="Q72" s="19"/>
      <c r="R72" s="19"/>
      <c r="S72" s="19"/>
      <c r="T72" s="19"/>
      <c r="U72" s="19"/>
      <c r="V72" s="19"/>
      <c r="W72" s="24"/>
      <c r="X72" s="24"/>
      <c r="Y72" s="24"/>
      <c r="Z72" s="24"/>
      <c r="AA72" s="24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</row>
    <row r="73" spans="1:70" hidden="1" x14ac:dyDescent="0.25">
      <c r="A73" s="9"/>
      <c r="B73" s="7"/>
      <c r="C73" s="12" t="s">
        <v>147</v>
      </c>
      <c r="D73" s="27"/>
      <c r="E73" s="27"/>
      <c r="F73" s="27"/>
      <c r="G73" s="27"/>
      <c r="H73" s="26"/>
      <c r="I73" s="27"/>
      <c r="J73" s="27"/>
      <c r="K73" s="26"/>
      <c r="L73" s="27"/>
      <c r="M73" s="20"/>
      <c r="N73" s="41">
        <f>-N67</f>
        <v>-432345.9</v>
      </c>
      <c r="O73" s="19"/>
      <c r="P73" s="19"/>
      <c r="Q73" s="19"/>
      <c r="R73" s="19"/>
      <c r="S73" s="19"/>
      <c r="T73" s="19"/>
      <c r="U73" s="19"/>
      <c r="V73" s="19"/>
      <c r="W73" s="24"/>
      <c r="X73" s="24"/>
      <c r="Y73" s="24"/>
      <c r="Z73" s="24"/>
      <c r="AA73" s="24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</row>
    <row r="74" spans="1:70" hidden="1" x14ac:dyDescent="0.25">
      <c r="A74" s="9"/>
      <c r="B74" s="7"/>
      <c r="C74" s="103" t="s">
        <v>148</v>
      </c>
      <c r="D74" s="104"/>
      <c r="E74" s="104"/>
      <c r="F74" s="104"/>
      <c r="G74" s="104"/>
      <c r="H74" s="224"/>
      <c r="I74" s="104"/>
      <c r="J74" s="104"/>
      <c r="K74" s="224"/>
      <c r="L74" s="104"/>
      <c r="M74" s="105"/>
      <c r="N74" s="106">
        <f>SUM(N71:N73)</f>
        <v>-101313.92000000016</v>
      </c>
      <c r="O74" s="19"/>
      <c r="P74" s="19"/>
      <c r="Q74" s="19"/>
      <c r="R74" s="19"/>
      <c r="S74" s="19"/>
      <c r="T74" s="19"/>
      <c r="U74" s="19"/>
      <c r="V74" s="19"/>
      <c r="W74" s="24"/>
      <c r="X74" s="24"/>
      <c r="Y74" s="24"/>
      <c r="Z74" s="24"/>
      <c r="AA74" s="24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</row>
    <row r="75" spans="1:70" hidden="1" x14ac:dyDescent="0.25">
      <c r="A75" s="9"/>
      <c r="B75" s="7"/>
      <c r="C75" s="12"/>
      <c r="D75" s="27"/>
      <c r="E75" s="27"/>
      <c r="F75" s="27"/>
      <c r="G75" s="27"/>
      <c r="H75" s="26"/>
      <c r="I75" s="27"/>
      <c r="J75" s="27"/>
      <c r="K75" s="26"/>
      <c r="L75" s="27"/>
      <c r="M75" s="20"/>
      <c r="N75" s="41"/>
      <c r="O75" s="19"/>
      <c r="P75" s="19"/>
      <c r="Q75" s="19"/>
      <c r="R75" s="19"/>
      <c r="S75" s="19"/>
      <c r="T75" s="19"/>
      <c r="U75" s="19"/>
      <c r="V75" s="19"/>
      <c r="W75" s="24"/>
      <c r="X75" s="24"/>
      <c r="Y75" s="24"/>
      <c r="Z75" s="24"/>
      <c r="AA75" s="24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</row>
    <row r="76" spans="1:70" hidden="1" x14ac:dyDescent="0.25">
      <c r="A76" s="9"/>
      <c r="B76" s="7"/>
      <c r="C76" s="12" t="s">
        <v>149</v>
      </c>
      <c r="D76" s="27"/>
      <c r="E76" s="27"/>
      <c r="F76" s="27"/>
      <c r="G76" s="27"/>
      <c r="H76" s="26"/>
      <c r="I76" s="27"/>
      <c r="J76" s="27"/>
      <c r="K76" s="26"/>
      <c r="L76" s="27"/>
      <c r="M76" s="20"/>
      <c r="N76" s="41">
        <f>N67</f>
        <v>432345.9</v>
      </c>
      <c r="O76" s="19"/>
      <c r="P76" s="19"/>
      <c r="Q76" s="19"/>
      <c r="R76" s="19"/>
      <c r="S76" s="19"/>
      <c r="T76" s="19"/>
      <c r="U76" s="19"/>
      <c r="V76" s="19"/>
      <c r="W76" s="24"/>
      <c r="X76" s="24"/>
      <c r="Y76" s="24"/>
      <c r="Z76" s="24"/>
      <c r="AA76" s="24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</row>
    <row r="77" spans="1:70" hidden="1" x14ac:dyDescent="0.25">
      <c r="A77" s="9"/>
      <c r="B77" s="7"/>
      <c r="C77" s="103" t="s">
        <v>150</v>
      </c>
      <c r="D77" s="104"/>
      <c r="E77" s="104"/>
      <c r="F77" s="104"/>
      <c r="G77" s="104"/>
      <c r="H77" s="224"/>
      <c r="I77" s="104"/>
      <c r="J77" s="104"/>
      <c r="K77" s="224"/>
      <c r="L77" s="104"/>
      <c r="M77" s="105"/>
      <c r="N77" s="106">
        <v>331031.97999999986</v>
      </c>
      <c r="O77" s="19"/>
      <c r="P77" s="19"/>
      <c r="Q77" s="19"/>
      <c r="R77" s="19"/>
      <c r="S77" s="19"/>
      <c r="T77" s="19"/>
      <c r="U77" s="19"/>
      <c r="V77" s="19"/>
      <c r="W77" s="24"/>
      <c r="X77" s="24"/>
      <c r="Y77" s="24"/>
      <c r="Z77" s="24"/>
      <c r="AA77" s="24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</row>
    <row r="78" spans="1:70" hidden="1" x14ac:dyDescent="0.25">
      <c r="A78" s="9" t="s">
        <v>151</v>
      </c>
      <c r="B78" s="7"/>
      <c r="C78" s="12"/>
      <c r="D78" s="27"/>
      <c r="E78" s="27"/>
      <c r="F78" s="27"/>
      <c r="G78" s="27"/>
      <c r="H78" s="26"/>
      <c r="I78" s="27"/>
      <c r="J78" s="27"/>
      <c r="K78" s="26"/>
      <c r="L78" s="27"/>
      <c r="M78" s="20"/>
      <c r="N78" s="41"/>
      <c r="O78" s="19"/>
      <c r="P78" s="19"/>
      <c r="Q78" s="19"/>
      <c r="R78" s="19"/>
      <c r="S78" s="19"/>
      <c r="T78" s="19"/>
      <c r="U78" s="19"/>
      <c r="V78" s="19"/>
      <c r="W78" s="24"/>
      <c r="X78" s="24"/>
      <c r="Y78" s="24"/>
      <c r="Z78" s="24"/>
      <c r="AA78" s="24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</row>
    <row r="79" spans="1:70" hidden="1" x14ac:dyDescent="0.25">
      <c r="A79" s="9"/>
      <c r="B79" s="7"/>
      <c r="C79" s="12" t="s">
        <v>152</v>
      </c>
      <c r="D79" s="27"/>
      <c r="E79" s="27"/>
      <c r="F79" s="27"/>
      <c r="G79" s="27"/>
      <c r="H79" s="26"/>
      <c r="I79" s="27"/>
      <c r="J79" s="27"/>
      <c r="K79" s="26"/>
      <c r="L79" s="27"/>
      <c r="M79" s="20"/>
      <c r="N79" s="41">
        <v>-993846.64</v>
      </c>
      <c r="O79" s="19"/>
      <c r="P79" s="19"/>
      <c r="Q79" s="19"/>
      <c r="R79" s="19"/>
      <c r="S79" s="19"/>
      <c r="T79" s="19"/>
      <c r="U79" s="19"/>
      <c r="V79" s="19"/>
      <c r="W79" s="24"/>
      <c r="X79" s="24"/>
      <c r="Y79" s="24"/>
      <c r="Z79" s="24"/>
      <c r="AA79" s="24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</row>
    <row r="80" spans="1:70" ht="15.75" hidden="1" thickBot="1" x14ac:dyDescent="0.3">
      <c r="A80" s="9"/>
      <c r="B80" s="7"/>
      <c r="C80" s="107" t="s">
        <v>153</v>
      </c>
      <c r="D80" s="108"/>
      <c r="E80" s="108"/>
      <c r="F80" s="108"/>
      <c r="G80" s="108"/>
      <c r="H80" s="225"/>
      <c r="I80" s="108"/>
      <c r="J80" s="108"/>
      <c r="K80" s="225"/>
      <c r="L80" s="108"/>
      <c r="M80" s="109"/>
      <c r="N80" s="110">
        <v>-662814.66000000015</v>
      </c>
      <c r="O80" s="19"/>
      <c r="P80" s="19"/>
      <c r="Q80" s="19"/>
      <c r="R80" s="19"/>
      <c r="S80" s="19"/>
      <c r="T80" s="19"/>
      <c r="U80" s="19"/>
      <c r="V80" s="19"/>
      <c r="W80" s="24"/>
      <c r="X80" s="24"/>
      <c r="Y80" s="24"/>
      <c r="Z80" s="24"/>
      <c r="AA80" s="24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</row>
    <row r="81" spans="1:74" hidden="1" x14ac:dyDescent="0.25">
      <c r="A81" s="9"/>
      <c r="B81" s="7"/>
      <c r="C81" s="111"/>
      <c r="D81" s="27"/>
      <c r="E81" s="27"/>
      <c r="F81" s="27"/>
      <c r="G81" s="27"/>
      <c r="H81" s="26"/>
      <c r="I81" s="27"/>
      <c r="J81" s="27"/>
      <c r="K81" s="26"/>
      <c r="L81" s="27"/>
      <c r="M81" s="89"/>
      <c r="N81" s="112"/>
      <c r="O81" s="19"/>
      <c r="P81" s="19"/>
      <c r="Q81" s="19"/>
      <c r="R81" s="19"/>
      <c r="S81" s="19"/>
      <c r="T81" s="19"/>
      <c r="U81" s="19"/>
      <c r="V81" s="19"/>
      <c r="W81" s="24"/>
      <c r="X81" s="24"/>
      <c r="Y81" s="24"/>
      <c r="Z81" s="24"/>
      <c r="AA81" s="24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</row>
    <row r="82" spans="1:74" ht="15.75" hidden="1" thickBot="1" x14ac:dyDescent="0.3">
      <c r="A82" s="93"/>
      <c r="B82" s="94"/>
      <c r="C82" s="113" t="s">
        <v>154</v>
      </c>
      <c r="D82" s="114"/>
      <c r="E82" s="114"/>
      <c r="F82" s="114"/>
      <c r="G82" s="114"/>
      <c r="H82" s="226"/>
      <c r="I82" s="114"/>
      <c r="J82" s="114"/>
      <c r="K82" s="226"/>
      <c r="L82" s="114"/>
      <c r="M82" s="115"/>
      <c r="N82" s="116">
        <f>N69+N72+N79</f>
        <v>30053.640000000247</v>
      </c>
      <c r="O82" s="19"/>
      <c r="P82" s="19"/>
      <c r="Q82" s="19"/>
      <c r="R82" s="19"/>
      <c r="S82" s="19"/>
      <c r="T82" s="19"/>
      <c r="U82" s="19"/>
      <c r="V82" s="19"/>
      <c r="W82" s="24"/>
      <c r="X82" s="24"/>
      <c r="Y82" s="24"/>
      <c r="Z82" s="24"/>
      <c r="AA82" s="24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</row>
    <row r="83" spans="1:74" hidden="1" x14ac:dyDescent="0.25">
      <c r="A83" s="7"/>
      <c r="B83" s="7"/>
      <c r="C83" s="12"/>
      <c r="D83" s="27"/>
      <c r="E83" s="27"/>
      <c r="F83" s="27"/>
      <c r="G83" s="27"/>
      <c r="H83" s="26"/>
      <c r="I83" s="27"/>
      <c r="J83" s="27"/>
      <c r="K83" s="26"/>
      <c r="L83" s="27"/>
      <c r="M83" s="20"/>
      <c r="N83" s="41"/>
      <c r="O83" s="19"/>
      <c r="P83" s="19"/>
      <c r="Q83" s="19"/>
      <c r="R83" s="19"/>
      <c r="S83" s="19"/>
      <c r="T83" s="19"/>
      <c r="U83" s="19"/>
      <c r="V83" s="19"/>
      <c r="W83" s="24"/>
      <c r="X83" s="24"/>
      <c r="Y83" s="24"/>
      <c r="Z83" s="24"/>
      <c r="AA83" s="24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</row>
    <row r="84" spans="1:74" hidden="1" x14ac:dyDescent="0.25">
      <c r="A84" s="7"/>
      <c r="B84" s="7"/>
      <c r="C84" s="12"/>
      <c r="D84" s="117"/>
      <c r="E84" s="117"/>
      <c r="F84" s="117"/>
      <c r="G84" s="117"/>
      <c r="I84" s="117"/>
      <c r="J84" s="117"/>
      <c r="L84" s="117"/>
      <c r="N84" s="23"/>
      <c r="O84" s="19"/>
      <c r="P84" s="19"/>
      <c r="Q84" s="19"/>
      <c r="R84" s="19"/>
      <c r="S84" s="19"/>
      <c r="T84" s="19"/>
      <c r="U84" s="19"/>
      <c r="V84" s="19"/>
      <c r="W84" s="24"/>
      <c r="X84" s="24"/>
      <c r="Y84" s="24"/>
      <c r="Z84" s="24"/>
      <c r="AA84" s="24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</row>
    <row r="85" spans="1:74" hidden="1" x14ac:dyDescent="0.25">
      <c r="A85" s="7"/>
      <c r="B85" s="7"/>
      <c r="C85" s="12"/>
      <c r="D85" s="117"/>
      <c r="E85" s="117"/>
      <c r="F85" s="117"/>
      <c r="G85" s="117"/>
      <c r="I85" s="117"/>
      <c r="J85" s="117"/>
      <c r="L85" s="117"/>
      <c r="N85" s="23"/>
      <c r="O85" s="19"/>
      <c r="P85" s="19"/>
      <c r="Q85" s="19"/>
      <c r="R85" s="19"/>
      <c r="S85" s="19"/>
      <c r="T85" s="19"/>
      <c r="U85" s="19"/>
      <c r="V85" s="19"/>
      <c r="W85" s="24"/>
      <c r="X85" s="24"/>
      <c r="Y85" s="24"/>
      <c r="Z85" s="24"/>
      <c r="AA85" s="24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</row>
    <row r="86" spans="1:74" hidden="1" x14ac:dyDescent="0.25">
      <c r="A86" s="7"/>
      <c r="B86" s="7"/>
      <c r="C86" s="12"/>
      <c r="D86" s="117"/>
      <c r="E86" s="117"/>
      <c r="F86" s="117"/>
      <c r="G86" s="117"/>
      <c r="I86" s="117"/>
      <c r="J86" s="117"/>
      <c r="L86" s="117"/>
      <c r="N86" s="23"/>
      <c r="O86" s="19"/>
      <c r="P86" s="19"/>
      <c r="Q86" s="19"/>
      <c r="R86" s="19"/>
      <c r="S86" s="19"/>
      <c r="T86" s="19"/>
      <c r="U86" s="19"/>
      <c r="V86" s="19"/>
      <c r="W86" s="24"/>
      <c r="X86" s="24"/>
      <c r="Y86" s="24"/>
      <c r="Z86" s="24"/>
      <c r="AA86" s="24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</row>
    <row r="87" spans="1:74" hidden="1" x14ac:dyDescent="0.25">
      <c r="A87" s="7"/>
      <c r="B87" s="7"/>
      <c r="C87" s="12"/>
      <c r="D87" s="117"/>
      <c r="E87" s="117"/>
      <c r="F87" s="117"/>
      <c r="G87" s="117"/>
      <c r="I87" s="117"/>
      <c r="J87" s="117"/>
      <c r="L87" s="117"/>
      <c r="N87" s="23"/>
      <c r="O87" s="19"/>
      <c r="P87" s="19"/>
      <c r="Q87" s="19"/>
      <c r="R87" s="19"/>
      <c r="S87" s="19"/>
      <c r="T87" s="19"/>
      <c r="U87" s="19"/>
      <c r="V87" s="19"/>
      <c r="W87" s="24"/>
      <c r="X87" s="24"/>
      <c r="Y87" s="24"/>
      <c r="Z87" s="24"/>
      <c r="AA87" s="24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</row>
    <row r="88" spans="1:74" hidden="1" x14ac:dyDescent="0.25">
      <c r="A88" s="7"/>
      <c r="B88" s="7"/>
      <c r="C88" s="12"/>
      <c r="D88" s="117"/>
      <c r="E88" s="117"/>
      <c r="F88" s="117"/>
      <c r="G88" s="117"/>
      <c r="I88" s="117"/>
      <c r="J88" s="117"/>
      <c r="L88" s="117"/>
      <c r="N88" s="23"/>
      <c r="O88" s="19"/>
      <c r="P88" s="19"/>
      <c r="Q88" s="19"/>
      <c r="R88" s="19"/>
      <c r="S88" s="19"/>
      <c r="T88" s="19"/>
      <c r="U88" s="19"/>
      <c r="V88" s="19"/>
      <c r="W88" s="24"/>
      <c r="X88" s="24"/>
      <c r="Y88" s="24"/>
      <c r="Z88" s="24"/>
      <c r="AA88" s="24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</row>
    <row r="89" spans="1:74" hidden="1" x14ac:dyDescent="0.25">
      <c r="A89" s="7"/>
      <c r="B89" s="7"/>
      <c r="C89" s="12"/>
      <c r="D89" s="117"/>
      <c r="E89" s="117"/>
      <c r="F89" s="117"/>
      <c r="G89" s="117"/>
      <c r="I89" s="117"/>
      <c r="J89" s="117"/>
      <c r="L89" s="117"/>
      <c r="N89" s="23"/>
      <c r="O89" s="19"/>
      <c r="P89" s="19"/>
      <c r="Q89" s="19"/>
      <c r="R89" s="19"/>
      <c r="S89" s="19"/>
      <c r="T89" s="19"/>
      <c r="U89" s="19"/>
      <c r="V89" s="19"/>
      <c r="W89" s="24"/>
      <c r="X89" s="24"/>
      <c r="Y89" s="24"/>
      <c r="Z89" s="24"/>
      <c r="AA89" s="24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</row>
    <row r="90" spans="1:74" hidden="1" x14ac:dyDescent="0.25">
      <c r="A90" s="7"/>
      <c r="B90" s="7"/>
      <c r="C90" s="12"/>
      <c r="D90" s="117"/>
      <c r="E90" s="117"/>
      <c r="F90" s="117"/>
      <c r="G90" s="117"/>
      <c r="I90" s="117"/>
      <c r="J90" s="117"/>
      <c r="L90" s="117"/>
      <c r="N90" s="23"/>
      <c r="O90" s="19"/>
      <c r="P90" s="19"/>
      <c r="Q90" s="19"/>
      <c r="R90" s="19"/>
      <c r="S90" s="19"/>
      <c r="T90" s="19"/>
      <c r="U90" s="19"/>
      <c r="V90" s="19"/>
      <c r="W90" s="24"/>
      <c r="X90" s="24"/>
      <c r="Y90" s="24"/>
      <c r="Z90" s="24"/>
      <c r="AA90" s="24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</row>
    <row r="91" spans="1:74" hidden="1" x14ac:dyDescent="0.25">
      <c r="A91" s="7"/>
      <c r="B91" s="7"/>
      <c r="C91" s="12"/>
      <c r="D91" s="27"/>
      <c r="E91" s="27"/>
      <c r="F91" s="27"/>
      <c r="G91" s="27"/>
      <c r="H91" s="26"/>
      <c r="I91" s="27"/>
      <c r="J91" s="27"/>
      <c r="K91" s="26"/>
      <c r="L91" s="27"/>
      <c r="N91" s="23"/>
      <c r="O91" s="19"/>
      <c r="P91" s="19"/>
      <c r="Q91" s="19"/>
      <c r="R91" s="43"/>
      <c r="S91" s="118"/>
      <c r="T91" s="118"/>
      <c r="U91" s="118"/>
      <c r="V91" s="118"/>
      <c r="W91" s="119"/>
      <c r="X91" s="119"/>
      <c r="Y91" s="119"/>
      <c r="Z91" s="24"/>
      <c r="AA91" s="24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</row>
    <row r="92" spans="1:74" s="123" customFormat="1" ht="15.75" hidden="1" thickBot="1" x14ac:dyDescent="0.3">
      <c r="A92" s="120"/>
      <c r="B92" s="121"/>
      <c r="C92" s="122" t="s">
        <v>155</v>
      </c>
      <c r="M92" s="125"/>
      <c r="N92" s="124"/>
      <c r="O92" s="126"/>
      <c r="P92" s="126"/>
      <c r="Q92" s="127" t="s">
        <v>156</v>
      </c>
      <c r="R92" s="128"/>
      <c r="S92" s="126"/>
      <c r="T92" s="126"/>
      <c r="U92" s="126"/>
      <c r="V92" s="126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</row>
    <row r="93" spans="1:74" hidden="1" x14ac:dyDescent="0.25">
      <c r="A93" s="18"/>
      <c r="C93" s="130" t="s">
        <v>157</v>
      </c>
      <c r="M93" s="40"/>
      <c r="N93" s="12"/>
      <c r="Q93" s="131" t="s">
        <v>158</v>
      </c>
      <c r="R93" s="132">
        <f>6458.33+8726.23+4632.71+18312.72+1141.75</f>
        <v>39271.740000000005</v>
      </c>
      <c r="S93" s="133"/>
      <c r="T93" s="133"/>
      <c r="U93" s="133"/>
      <c r="V93" s="133"/>
      <c r="W93" s="134"/>
      <c r="X93" s="134"/>
      <c r="Y93" s="134"/>
      <c r="BS93" s="135"/>
      <c r="BT93" s="135"/>
      <c r="BU93" s="135"/>
      <c r="BV93" s="135"/>
    </row>
    <row r="94" spans="1:74" hidden="1" x14ac:dyDescent="0.25">
      <c r="A94" s="18"/>
      <c r="C94" s="136" t="s">
        <v>159</v>
      </c>
      <c r="N94" s="12"/>
      <c r="Q94" s="131" t="s">
        <v>160</v>
      </c>
      <c r="R94" s="137">
        <f>11707.31+6260.38+4044.86+14857.88+4447.77</f>
        <v>41318.199999999997</v>
      </c>
      <c r="S94" s="133"/>
      <c r="T94" s="133"/>
      <c r="U94" s="133"/>
      <c r="V94" s="133"/>
      <c r="W94" s="134"/>
      <c r="X94" s="134"/>
      <c r="Y94" s="134"/>
      <c r="BS94" s="135"/>
      <c r="BT94" s="135"/>
      <c r="BU94" s="135"/>
      <c r="BV94" s="135"/>
    </row>
    <row r="95" spans="1:74" hidden="1" x14ac:dyDescent="0.25">
      <c r="A95" s="18"/>
      <c r="C95" s="138" t="s">
        <v>161</v>
      </c>
      <c r="N95" s="12"/>
      <c r="Q95" s="139"/>
      <c r="R95" s="137"/>
      <c r="S95" s="133"/>
      <c r="T95" s="133"/>
      <c r="U95" s="133"/>
      <c r="V95" s="133"/>
      <c r="W95" s="134"/>
      <c r="X95" s="134"/>
      <c r="Y95" s="134"/>
      <c r="BS95" s="135"/>
      <c r="BT95" s="135"/>
      <c r="BU95" s="135"/>
      <c r="BV95" s="135"/>
    </row>
    <row r="96" spans="1:74" hidden="1" x14ac:dyDescent="0.25">
      <c r="A96" s="18"/>
      <c r="C96" s="138" t="s">
        <v>162</v>
      </c>
      <c r="M96" s="40"/>
      <c r="N96" s="12"/>
      <c r="Q96" s="139" t="s">
        <v>163</v>
      </c>
      <c r="R96" s="132">
        <f>31077.18+42303.38+22829.46+90493.93+5818.06</f>
        <v>192522.00999999998</v>
      </c>
      <c r="S96" s="140"/>
      <c r="T96" s="141"/>
      <c r="U96" s="133"/>
      <c r="V96" s="133"/>
      <c r="W96" s="134"/>
      <c r="X96" s="134"/>
      <c r="Y96" s="134"/>
      <c r="BS96" s="135"/>
      <c r="BT96" s="135"/>
      <c r="BU96" s="135"/>
      <c r="BV96" s="135"/>
    </row>
    <row r="97" spans="1:71" ht="15.75" hidden="1" thickBot="1" x14ac:dyDescent="0.3">
      <c r="A97" s="18"/>
      <c r="C97" s="138" t="s">
        <v>164</v>
      </c>
      <c r="M97" s="40"/>
      <c r="N97" s="28"/>
      <c r="Q97" s="142" t="s">
        <v>165</v>
      </c>
      <c r="R97" s="143">
        <f>45155.14+31101.9+22670.65+74289.43+21065.32</f>
        <v>194282.44</v>
      </c>
      <c r="S97" s="133"/>
      <c r="T97" s="133"/>
      <c r="U97" s="133"/>
      <c r="V97" s="133"/>
      <c r="W97" s="134"/>
      <c r="X97" s="134"/>
      <c r="Y97" s="134"/>
      <c r="AE97" s="64" t="s">
        <v>166</v>
      </c>
      <c r="AF97" s="8"/>
    </row>
    <row r="98" spans="1:71" hidden="1" x14ac:dyDescent="0.25">
      <c r="A98" s="18"/>
      <c r="C98" s="136" t="s">
        <v>167</v>
      </c>
      <c r="N98" s="28"/>
      <c r="Q98" s="133"/>
      <c r="S98" s="133"/>
      <c r="T98" s="133"/>
      <c r="U98" s="133"/>
      <c r="V98" s="133"/>
      <c r="W98" s="134"/>
      <c r="X98" s="134"/>
      <c r="Y98" s="134"/>
      <c r="AE98" s="144">
        <v>2016</v>
      </c>
      <c r="AF98" s="145" t="s">
        <v>168</v>
      </c>
      <c r="AG98" s="146">
        <f>10237.06+258.79+6063.02+5699.41+9732.52+2837.15</f>
        <v>34827.950000000004</v>
      </c>
    </row>
    <row r="99" spans="1:71" hidden="1" x14ac:dyDescent="0.25">
      <c r="A99" s="18"/>
      <c r="C99" s="138" t="s">
        <v>169</v>
      </c>
      <c r="M99" s="40"/>
      <c r="N99" s="28"/>
      <c r="Q99" s="133"/>
      <c r="S99" s="133"/>
      <c r="T99" s="133"/>
      <c r="U99" s="133"/>
      <c r="V99" s="133"/>
      <c r="W99" s="134"/>
      <c r="X99" s="134"/>
      <c r="Y99" s="134"/>
      <c r="AE99" s="147">
        <v>2016</v>
      </c>
      <c r="AF99" s="64" t="s">
        <v>170</v>
      </c>
      <c r="AG99" s="148">
        <f>99544.3+9817.27+29799.07+55520.29+94640.24+11348.6</f>
        <v>300669.77</v>
      </c>
    </row>
    <row r="100" spans="1:71" hidden="1" x14ac:dyDescent="0.25">
      <c r="A100" s="18"/>
      <c r="C100" s="138" t="s">
        <v>171</v>
      </c>
      <c r="M100" s="40"/>
      <c r="N100" s="28"/>
      <c r="Q100" s="133"/>
      <c r="R100" s="133"/>
      <c r="S100" s="133"/>
      <c r="T100" s="133"/>
      <c r="U100" s="133"/>
      <c r="V100" s="133"/>
      <c r="W100" s="134"/>
      <c r="X100" s="134"/>
      <c r="Y100" s="134"/>
      <c r="AE100" s="147"/>
      <c r="AF100" s="64"/>
      <c r="AG100" s="148"/>
    </row>
    <row r="101" spans="1:71" hidden="1" x14ac:dyDescent="0.25">
      <c r="A101" s="18"/>
      <c r="C101" s="136" t="s">
        <v>172</v>
      </c>
      <c r="M101" s="125"/>
      <c r="N101" s="124"/>
      <c r="Q101" s="133"/>
      <c r="R101" s="133"/>
      <c r="S101" s="133"/>
      <c r="T101" s="133"/>
      <c r="U101" s="133"/>
      <c r="V101" s="133"/>
      <c r="W101" s="134"/>
      <c r="X101" s="134"/>
      <c r="Y101" s="134"/>
      <c r="AE101" s="147">
        <v>2015</v>
      </c>
      <c r="AF101" s="8" t="s">
        <v>168</v>
      </c>
      <c r="AG101" s="148">
        <f>12800.51+1372.24+1137.44+10277.75+13206.18</f>
        <v>38794.120000000003</v>
      </c>
    </row>
    <row r="102" spans="1:71" hidden="1" x14ac:dyDescent="0.25">
      <c r="A102" s="18"/>
      <c r="C102" s="149" t="s">
        <v>173</v>
      </c>
      <c r="M102" s="40"/>
      <c r="N102" s="12"/>
      <c r="Q102" s="133"/>
      <c r="R102" s="133"/>
      <c r="S102" s="133"/>
      <c r="T102" s="133"/>
      <c r="U102" s="133"/>
      <c r="V102" s="133"/>
      <c r="W102" s="134"/>
      <c r="X102" s="134"/>
      <c r="Y102" s="134"/>
      <c r="AE102" s="150">
        <v>2015</v>
      </c>
      <c r="AF102" s="151" t="s">
        <v>170</v>
      </c>
      <c r="AG102" s="152">
        <f>105590.28+16147.27+18467.32+34805.26+126637.01</f>
        <v>301647.14</v>
      </c>
    </row>
    <row r="103" spans="1:71" ht="15.75" hidden="1" thickBot="1" x14ac:dyDescent="0.3">
      <c r="A103" s="153"/>
      <c r="C103" s="154" t="s">
        <v>174</v>
      </c>
      <c r="M103" s="40"/>
      <c r="N103" s="12"/>
      <c r="O103" s="76"/>
      <c r="P103" s="76"/>
      <c r="Q103" s="140"/>
      <c r="R103" s="140"/>
      <c r="S103" s="140"/>
      <c r="T103" s="140"/>
      <c r="U103" s="140"/>
      <c r="V103" s="140"/>
      <c r="W103" s="155"/>
      <c r="X103" s="155"/>
      <c r="Y103" s="155"/>
      <c r="Z103" s="64"/>
      <c r="AA103" s="64"/>
      <c r="AB103" s="156"/>
      <c r="AE103" s="157"/>
      <c r="AF103" s="64"/>
      <c r="AG103" s="156"/>
    </row>
    <row r="104" spans="1:71" hidden="1" x14ac:dyDescent="0.25">
      <c r="C104" s="10" t="s">
        <v>175</v>
      </c>
      <c r="D104" s="10"/>
      <c r="E104" s="10"/>
      <c r="F104" s="10"/>
      <c r="G104" s="10"/>
      <c r="H104" s="10"/>
      <c r="I104" s="10"/>
      <c r="J104" s="10"/>
      <c r="K104" s="10"/>
      <c r="L104" s="10"/>
      <c r="O104" s="76"/>
      <c r="P104" s="76"/>
      <c r="Q104" s="140"/>
      <c r="R104" s="140"/>
      <c r="S104" s="140"/>
      <c r="T104" s="140"/>
      <c r="U104" s="140"/>
      <c r="V104" s="140"/>
      <c r="W104" s="155"/>
      <c r="X104" s="155"/>
      <c r="Y104" s="155"/>
      <c r="Z104" s="64"/>
      <c r="AA104" s="64"/>
      <c r="AB104" s="156"/>
    </row>
    <row r="105" spans="1:71" hidden="1" x14ac:dyDescent="0.25">
      <c r="D105" s="10"/>
      <c r="E105" s="10"/>
      <c r="F105" s="10"/>
      <c r="G105" s="10"/>
      <c r="H105" s="10"/>
      <c r="I105" s="10"/>
      <c r="J105" s="10"/>
      <c r="K105" s="10"/>
      <c r="L105" s="10"/>
      <c r="M105" s="12"/>
      <c r="N105" s="10"/>
      <c r="O105" s="158"/>
      <c r="P105" s="76"/>
      <c r="Q105" s="76"/>
      <c r="R105" s="140"/>
      <c r="S105" s="140"/>
      <c r="T105" s="140"/>
      <c r="U105" s="140"/>
      <c r="V105" s="140"/>
      <c r="W105" s="140"/>
      <c r="X105" s="155"/>
      <c r="Y105" s="155"/>
      <c r="Z105" s="155"/>
      <c r="AA105" s="64"/>
      <c r="AB105" s="64"/>
      <c r="AC105" s="156"/>
      <c r="BS105" s="135"/>
    </row>
    <row r="106" spans="1:71" hidden="1" x14ac:dyDescent="0.25">
      <c r="D106" s="10"/>
      <c r="E106" s="10"/>
      <c r="F106" s="10"/>
      <c r="G106" s="10"/>
      <c r="H106" s="10"/>
      <c r="I106" s="10"/>
      <c r="J106" s="10"/>
      <c r="K106" s="10"/>
      <c r="L106" s="10"/>
      <c r="O106" s="76"/>
      <c r="P106" s="76"/>
      <c r="Q106" s="140"/>
      <c r="R106" s="140"/>
      <c r="S106" s="140"/>
      <c r="T106" s="140"/>
      <c r="U106" s="140"/>
      <c r="V106" s="140"/>
      <c r="W106" s="155"/>
      <c r="X106" s="155"/>
      <c r="Y106" s="155"/>
      <c r="Z106" s="64"/>
      <c r="AA106" s="64"/>
      <c r="AB106" s="156"/>
    </row>
    <row r="107" spans="1:71" hidden="1" x14ac:dyDescent="0.25">
      <c r="D107" s="10"/>
      <c r="E107" s="10"/>
      <c r="F107" s="10"/>
      <c r="G107" s="10"/>
      <c r="H107" s="10"/>
      <c r="I107" s="10"/>
      <c r="J107" s="10"/>
      <c r="K107" s="10"/>
      <c r="L107" s="10"/>
      <c r="Q107" s="133"/>
      <c r="R107" s="133"/>
      <c r="S107" s="133"/>
      <c r="T107" s="133"/>
      <c r="U107" s="133"/>
      <c r="V107" s="133"/>
      <c r="W107" s="134"/>
      <c r="X107" s="134"/>
      <c r="Y107" s="134"/>
    </row>
    <row r="108" spans="1:71" hidden="1" x14ac:dyDescent="0.25">
      <c r="D108" s="10"/>
      <c r="E108" s="10"/>
      <c r="F108" s="10"/>
      <c r="G108" s="10"/>
      <c r="H108" s="10"/>
      <c r="I108" s="10"/>
      <c r="J108" s="10"/>
      <c r="K108" s="10"/>
      <c r="L108" s="10"/>
      <c r="Q108" s="133"/>
      <c r="R108" s="133"/>
      <c r="S108" s="133"/>
      <c r="T108" s="133"/>
      <c r="U108" s="133"/>
      <c r="V108" s="133"/>
      <c r="W108" s="134"/>
      <c r="X108" s="134"/>
      <c r="Y108" s="134"/>
    </row>
    <row r="109" spans="1:71" hidden="1" x14ac:dyDescent="0.25">
      <c r="D109" s="10"/>
      <c r="E109" s="10"/>
      <c r="F109" s="10"/>
      <c r="G109" s="10"/>
      <c r="H109" s="10"/>
      <c r="I109" s="10"/>
      <c r="J109" s="10"/>
      <c r="K109" s="10"/>
      <c r="L109" s="10"/>
      <c r="Q109" s="133"/>
      <c r="R109" s="133"/>
      <c r="S109" s="133"/>
      <c r="T109" s="133"/>
      <c r="U109" s="133"/>
      <c r="V109" s="133"/>
      <c r="W109" s="134"/>
      <c r="X109" s="134"/>
      <c r="Y109" s="134"/>
    </row>
    <row r="110" spans="1:71" hidden="1" x14ac:dyDescent="0.25">
      <c r="C110" s="23"/>
      <c r="D110" s="10"/>
      <c r="E110" s="10"/>
      <c r="F110" s="10"/>
      <c r="G110" s="10"/>
      <c r="H110" s="10"/>
      <c r="I110" s="10"/>
      <c r="J110" s="10"/>
      <c r="K110" s="10"/>
      <c r="L110" s="10"/>
      <c r="M110" s="13"/>
      <c r="P110" s="133"/>
      <c r="Q110" s="133"/>
      <c r="R110" s="133"/>
      <c r="S110" s="133"/>
      <c r="T110" s="133"/>
      <c r="U110" s="133"/>
      <c r="V110" s="134"/>
      <c r="W110" s="134"/>
      <c r="X110" s="134"/>
      <c r="AA110" s="135"/>
      <c r="BR110" s="102"/>
    </row>
    <row r="111" spans="1:71" hidden="1" x14ac:dyDescent="0.25">
      <c r="D111" s="22">
        <v>-419446.06561618997</v>
      </c>
      <c r="G111" s="22">
        <v>-419446.06561618997</v>
      </c>
      <c r="Q111" s="133"/>
      <c r="R111" s="133"/>
      <c r="S111" s="133"/>
      <c r="T111" s="133"/>
      <c r="U111" s="133"/>
      <c r="V111" s="133"/>
      <c r="W111" s="134"/>
      <c r="X111" s="134"/>
      <c r="Y111" s="134"/>
    </row>
    <row r="112" spans="1:71" hidden="1" x14ac:dyDescent="0.25">
      <c r="Q112" s="133"/>
      <c r="R112" s="133"/>
      <c r="S112" s="133"/>
      <c r="T112" s="133"/>
      <c r="U112" s="133"/>
      <c r="V112" s="133"/>
      <c r="W112" s="134"/>
      <c r="X112" s="134"/>
      <c r="Y112" s="134"/>
    </row>
    <row r="113" spans="4:25" hidden="1" x14ac:dyDescent="0.25">
      <c r="D113" s="22">
        <f>D69-D111</f>
        <v>139819.61023077928</v>
      </c>
      <c r="G113" s="22">
        <v>23649.063075050712</v>
      </c>
      <c r="Q113" s="133"/>
      <c r="R113" s="133"/>
      <c r="S113" s="133"/>
      <c r="T113" s="133"/>
      <c r="U113" s="133"/>
      <c r="V113" s="133"/>
      <c r="W113" s="134"/>
      <c r="X113" s="134"/>
      <c r="Y113" s="134"/>
    </row>
    <row r="114" spans="4:25" hidden="1" x14ac:dyDescent="0.25">
      <c r="Q114" s="133"/>
      <c r="R114" s="133"/>
      <c r="S114" s="133"/>
      <c r="T114" s="133"/>
      <c r="U114" s="133"/>
      <c r="V114" s="133"/>
      <c r="W114" s="134"/>
      <c r="X114" s="134"/>
      <c r="Y114" s="134"/>
    </row>
    <row r="115" spans="4:25" hidden="1" x14ac:dyDescent="0.25">
      <c r="Q115" s="133"/>
      <c r="R115" s="133"/>
      <c r="S115" s="133"/>
      <c r="T115" s="133"/>
      <c r="U115" s="133"/>
      <c r="V115" s="133"/>
      <c r="W115" s="134"/>
      <c r="X115" s="134"/>
      <c r="Y115" s="134"/>
    </row>
    <row r="116" spans="4:25" x14ac:dyDescent="0.25">
      <c r="Q116" s="133"/>
      <c r="R116" s="133"/>
      <c r="S116" s="133"/>
      <c r="T116" s="133"/>
      <c r="U116" s="133"/>
      <c r="V116" s="133"/>
      <c r="W116" s="134"/>
      <c r="X116" s="134"/>
      <c r="Y116" s="134"/>
    </row>
    <row r="117" spans="4:25" x14ac:dyDescent="0.25">
      <c r="Q117" s="133"/>
      <c r="R117" s="133"/>
      <c r="S117" s="133"/>
      <c r="T117" s="133"/>
      <c r="U117" s="133"/>
      <c r="V117" s="133"/>
      <c r="W117" s="134"/>
      <c r="X117" s="134"/>
      <c r="Y117" s="134"/>
    </row>
    <row r="118" spans="4:25" x14ac:dyDescent="0.25">
      <c r="Q118" s="133"/>
      <c r="R118" s="133"/>
      <c r="S118" s="133"/>
      <c r="T118" s="133"/>
      <c r="U118" s="133"/>
      <c r="V118" s="133"/>
      <c r="W118" s="134"/>
      <c r="X118" s="134"/>
      <c r="Y118" s="134"/>
    </row>
    <row r="119" spans="4:25" x14ac:dyDescent="0.25">
      <c r="Q119" s="133"/>
      <c r="R119" s="133"/>
      <c r="S119" s="133"/>
      <c r="T119" s="133"/>
      <c r="U119" s="133"/>
      <c r="V119" s="133"/>
      <c r="W119" s="134"/>
      <c r="X119" s="134"/>
      <c r="Y119" s="134"/>
    </row>
  </sheetData>
  <pageMargins left="0.23622047244094491" right="0.23622047244094491" top="0.35433070866141736" bottom="0.35433070866141736" header="0" footer="0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0793-2960-304D-8C29-C953B6338200}">
  <sheetPr codeName="Sheet2">
    <tabColor rgb="FFFFC000"/>
    <pageSetUpPr fitToPage="1"/>
  </sheetPr>
  <dimension ref="A1:P32"/>
  <sheetViews>
    <sheetView topLeftCell="A8" workbookViewId="0">
      <selection activeCell="K36" sqref="K36"/>
    </sheetView>
  </sheetViews>
  <sheetFormatPr defaultColWidth="8.875" defaultRowHeight="15.75" x14ac:dyDescent="0.25"/>
  <cols>
    <col min="1" max="1" width="62.125" customWidth="1"/>
    <col min="2" max="13" width="8.375" customWidth="1"/>
    <col min="14" max="14" width="9.5" bestFit="1" customWidth="1"/>
    <col min="15" max="16" width="9.5" hidden="1" customWidth="1"/>
  </cols>
  <sheetData>
    <row r="1" spans="1:16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6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6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6" ht="18" x14ac:dyDescent="0.25">
      <c r="A4" s="372" t="s">
        <v>179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6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6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182</v>
      </c>
      <c r="O6" s="182" t="s">
        <v>18</v>
      </c>
      <c r="P6" s="182" t="s">
        <v>183</v>
      </c>
    </row>
    <row r="7" spans="1:16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16</v>
      </c>
      <c r="O7" s="182" t="s">
        <v>186</v>
      </c>
      <c r="P7" s="182" t="s">
        <v>16</v>
      </c>
    </row>
    <row r="8" spans="1:16" x14ac:dyDescent="0.25">
      <c r="A8" s="159" t="s">
        <v>187</v>
      </c>
      <c r="B8" s="160">
        <f t="shared" ref="B8:P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  <c r="O8" s="160">
        <f t="shared" si="0"/>
        <v>0</v>
      </c>
      <c r="P8" s="160">
        <f t="shared" si="0"/>
        <v>0</v>
      </c>
    </row>
    <row r="9" spans="1:16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</row>
    <row r="10" spans="1:16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</row>
    <row r="11" spans="1:16" x14ac:dyDescent="0.25">
      <c r="A11" s="164" t="s">
        <v>24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f>SUM(B11:M11)</f>
        <v>0</v>
      </c>
      <c r="O11" s="165">
        <f>SUM(C11:N11)</f>
        <v>0</v>
      </c>
      <c r="P11" s="165">
        <f>SUM(D11:O11)</f>
        <v>0</v>
      </c>
    </row>
    <row r="12" spans="1:16" x14ac:dyDescent="0.25">
      <c r="A12" s="166" t="s">
        <v>190</v>
      </c>
      <c r="B12" s="167">
        <f t="shared" ref="B12:N13" si="1">SUM(B11)</f>
        <v>0</v>
      </c>
      <c r="C12" s="167">
        <f t="shared" si="1"/>
        <v>0</v>
      </c>
      <c r="D12" s="167">
        <f t="shared" si="1"/>
        <v>0</v>
      </c>
      <c r="E12" s="167">
        <f t="shared" si="1"/>
        <v>0</v>
      </c>
      <c r="F12" s="167">
        <f t="shared" si="1"/>
        <v>0</v>
      </c>
      <c r="G12" s="167">
        <f t="shared" si="1"/>
        <v>0</v>
      </c>
      <c r="H12" s="167">
        <f t="shared" si="1"/>
        <v>0</v>
      </c>
      <c r="I12" s="167">
        <f t="shared" si="1"/>
        <v>0</v>
      </c>
      <c r="J12" s="167">
        <f t="shared" si="1"/>
        <v>0</v>
      </c>
      <c r="K12" s="167">
        <f t="shared" si="1"/>
        <v>0</v>
      </c>
      <c r="L12" s="167">
        <f t="shared" si="1"/>
        <v>0</v>
      </c>
      <c r="M12" s="167">
        <f t="shared" si="1"/>
        <v>0</v>
      </c>
      <c r="N12" s="167">
        <f t="shared" si="1"/>
        <v>0</v>
      </c>
      <c r="O12" s="167">
        <f>SUM(O11)</f>
        <v>0</v>
      </c>
      <c r="P12" s="167">
        <f>SUM(P11)</f>
        <v>0</v>
      </c>
    </row>
    <row r="13" spans="1:16" x14ac:dyDescent="0.25">
      <c r="A13" s="168" t="s">
        <v>191</v>
      </c>
      <c r="B13" s="167">
        <f t="shared" si="1"/>
        <v>0</v>
      </c>
      <c r="C13" s="167">
        <f t="shared" si="1"/>
        <v>0</v>
      </c>
      <c r="D13" s="167">
        <f t="shared" si="1"/>
        <v>0</v>
      </c>
      <c r="E13" s="167">
        <f t="shared" si="1"/>
        <v>0</v>
      </c>
      <c r="F13" s="167">
        <f t="shared" si="1"/>
        <v>0</v>
      </c>
      <c r="G13" s="167">
        <f t="shared" si="1"/>
        <v>0</v>
      </c>
      <c r="H13" s="167">
        <f t="shared" si="1"/>
        <v>0</v>
      </c>
      <c r="I13" s="167">
        <f t="shared" si="1"/>
        <v>0</v>
      </c>
      <c r="J13" s="167">
        <f t="shared" si="1"/>
        <v>0</v>
      </c>
      <c r="K13" s="167">
        <f t="shared" si="1"/>
        <v>0</v>
      </c>
      <c r="L13" s="167">
        <f t="shared" si="1"/>
        <v>0</v>
      </c>
      <c r="M13" s="167">
        <f t="shared" si="1"/>
        <v>0</v>
      </c>
      <c r="N13" s="167">
        <f t="shared" si="1"/>
        <v>0</v>
      </c>
      <c r="O13" s="167">
        <f>SUM(O12)</f>
        <v>0</v>
      </c>
      <c r="P13" s="167">
        <f>SUM(P12)</f>
        <v>0</v>
      </c>
    </row>
    <row r="14" spans="1:16" x14ac:dyDescent="0.25">
      <c r="A14" s="159" t="s">
        <v>192</v>
      </c>
      <c r="B14" s="160">
        <f t="shared" ref="B14:N14" si="2">B8-B13</f>
        <v>0</v>
      </c>
      <c r="C14" s="160">
        <f t="shared" si="2"/>
        <v>0</v>
      </c>
      <c r="D14" s="160">
        <f t="shared" si="2"/>
        <v>0</v>
      </c>
      <c r="E14" s="160">
        <f t="shared" si="2"/>
        <v>0</v>
      </c>
      <c r="F14" s="160">
        <f t="shared" si="2"/>
        <v>0</v>
      </c>
      <c r="G14" s="160">
        <f t="shared" si="2"/>
        <v>0</v>
      </c>
      <c r="H14" s="160">
        <f t="shared" si="2"/>
        <v>0</v>
      </c>
      <c r="I14" s="160">
        <f t="shared" si="2"/>
        <v>0</v>
      </c>
      <c r="J14" s="160">
        <f t="shared" si="2"/>
        <v>0</v>
      </c>
      <c r="K14" s="160">
        <f t="shared" si="2"/>
        <v>0</v>
      </c>
      <c r="L14" s="160">
        <f t="shared" si="2"/>
        <v>0</v>
      </c>
      <c r="M14" s="160">
        <f t="shared" si="2"/>
        <v>0</v>
      </c>
      <c r="N14" s="160">
        <f t="shared" si="2"/>
        <v>0</v>
      </c>
      <c r="O14" s="160">
        <f>O8-O13</f>
        <v>0</v>
      </c>
      <c r="P14" s="160">
        <f>P8-P13</f>
        <v>0</v>
      </c>
    </row>
    <row r="15" spans="1:16" x14ac:dyDescent="0.25">
      <c r="A15" s="161" t="s">
        <v>193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</row>
    <row r="16" spans="1:16" x14ac:dyDescent="0.25">
      <c r="A16" s="163" t="s">
        <v>194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</row>
    <row r="17" spans="1:16" x14ac:dyDescent="0.25">
      <c r="A17" s="164" t="s">
        <v>135</v>
      </c>
      <c r="B17" s="165">
        <v>23000</v>
      </c>
      <c r="C17" s="165">
        <f>B17</f>
        <v>23000</v>
      </c>
      <c r="D17" s="165">
        <f t="shared" ref="D17:M17" si="3">C17</f>
        <v>23000</v>
      </c>
      <c r="E17" s="165">
        <f t="shared" si="3"/>
        <v>23000</v>
      </c>
      <c r="F17" s="165">
        <f t="shared" si="3"/>
        <v>23000</v>
      </c>
      <c r="G17" s="165">
        <f t="shared" si="3"/>
        <v>23000</v>
      </c>
      <c r="H17" s="165">
        <f t="shared" si="3"/>
        <v>23000</v>
      </c>
      <c r="I17" s="165">
        <f t="shared" si="3"/>
        <v>23000</v>
      </c>
      <c r="J17" s="165">
        <f t="shared" si="3"/>
        <v>23000</v>
      </c>
      <c r="K17" s="165">
        <f t="shared" si="3"/>
        <v>23000</v>
      </c>
      <c r="L17" s="165">
        <f t="shared" si="3"/>
        <v>23000</v>
      </c>
      <c r="M17" s="165">
        <f t="shared" si="3"/>
        <v>23000</v>
      </c>
      <c r="N17" s="165">
        <f>SUM(B17:M17)</f>
        <v>276000</v>
      </c>
      <c r="O17" s="165">
        <v>0</v>
      </c>
      <c r="P17" s="165">
        <f>N17</f>
        <v>276000</v>
      </c>
    </row>
    <row r="18" spans="1:16" x14ac:dyDescent="0.25">
      <c r="A18" s="164" t="s">
        <v>137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>
        <v>0</v>
      </c>
      <c r="O18" s="165">
        <v>240</v>
      </c>
      <c r="P18" s="165">
        <f>O18</f>
        <v>240</v>
      </c>
    </row>
    <row r="19" spans="1:16" x14ac:dyDescent="0.25">
      <c r="A19" s="166" t="s">
        <v>195</v>
      </c>
      <c r="B19" s="167">
        <f t="shared" ref="B19:M19" si="4">SUM(B17)</f>
        <v>23000</v>
      </c>
      <c r="C19" s="167">
        <f t="shared" si="4"/>
        <v>23000</v>
      </c>
      <c r="D19" s="167">
        <f t="shared" si="4"/>
        <v>23000</v>
      </c>
      <c r="E19" s="167">
        <f t="shared" si="4"/>
        <v>23000</v>
      </c>
      <c r="F19" s="167">
        <f t="shared" si="4"/>
        <v>23000</v>
      </c>
      <c r="G19" s="167">
        <f t="shared" si="4"/>
        <v>23000</v>
      </c>
      <c r="H19" s="167">
        <f t="shared" si="4"/>
        <v>23000</v>
      </c>
      <c r="I19" s="167">
        <f t="shared" si="4"/>
        <v>23000</v>
      </c>
      <c r="J19" s="167">
        <f t="shared" si="4"/>
        <v>23000</v>
      </c>
      <c r="K19" s="167">
        <f t="shared" si="4"/>
        <v>23000</v>
      </c>
      <c r="L19" s="167">
        <f t="shared" si="4"/>
        <v>23000</v>
      </c>
      <c r="M19" s="167">
        <f t="shared" si="4"/>
        <v>23000</v>
      </c>
      <c r="N19" s="167">
        <f>SUM(N17:N18)</f>
        <v>276000</v>
      </c>
      <c r="O19" s="167">
        <f>SUM(O17:O18)</f>
        <v>240</v>
      </c>
      <c r="P19" s="167">
        <f>SUM(P17:P18)</f>
        <v>276240</v>
      </c>
    </row>
    <row r="20" spans="1:16" x14ac:dyDescent="0.25">
      <c r="A20" s="163" t="s">
        <v>196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</row>
    <row r="21" spans="1:16" x14ac:dyDescent="0.25">
      <c r="A21" s="164" t="s">
        <v>23</v>
      </c>
      <c r="B21" s="165">
        <v>0</v>
      </c>
      <c r="C21" s="165">
        <v>200</v>
      </c>
      <c r="D21" s="165">
        <v>1000</v>
      </c>
      <c r="E21" s="165">
        <v>700</v>
      </c>
      <c r="F21" s="165">
        <v>700</v>
      </c>
      <c r="G21" s="165">
        <v>200</v>
      </c>
      <c r="H21" s="165">
        <v>200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f>SUM(B21:M21)</f>
        <v>3000</v>
      </c>
      <c r="O21" s="165">
        <v>1448.87</v>
      </c>
      <c r="P21" s="165">
        <v>2000</v>
      </c>
    </row>
    <row r="22" spans="1:16" x14ac:dyDescent="0.25">
      <c r="A22" s="166" t="s">
        <v>197</v>
      </c>
      <c r="B22" s="167">
        <f t="shared" ref="B22:P22" si="5">SUM(B21)</f>
        <v>0</v>
      </c>
      <c r="C22" s="167">
        <f t="shared" si="5"/>
        <v>200</v>
      </c>
      <c r="D22" s="167">
        <f t="shared" si="5"/>
        <v>1000</v>
      </c>
      <c r="E22" s="167">
        <f t="shared" si="5"/>
        <v>700</v>
      </c>
      <c r="F22" s="167">
        <f t="shared" si="5"/>
        <v>700</v>
      </c>
      <c r="G22" s="167">
        <f t="shared" si="5"/>
        <v>200</v>
      </c>
      <c r="H22" s="167">
        <f t="shared" si="5"/>
        <v>200</v>
      </c>
      <c r="I22" s="167">
        <f t="shared" si="5"/>
        <v>0</v>
      </c>
      <c r="J22" s="167">
        <f t="shared" si="5"/>
        <v>0</v>
      </c>
      <c r="K22" s="167">
        <f t="shared" si="5"/>
        <v>0</v>
      </c>
      <c r="L22" s="167">
        <f t="shared" si="5"/>
        <v>0</v>
      </c>
      <c r="M22" s="167">
        <f t="shared" si="5"/>
        <v>0</v>
      </c>
      <c r="N22" s="167">
        <f t="shared" si="5"/>
        <v>3000</v>
      </c>
      <c r="O22" s="167">
        <f t="shared" si="5"/>
        <v>1448.87</v>
      </c>
      <c r="P22" s="167">
        <f t="shared" si="5"/>
        <v>2000</v>
      </c>
    </row>
    <row r="23" spans="1:16" x14ac:dyDescent="0.25">
      <c r="A23" s="163" t="s">
        <v>198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1:16" x14ac:dyDescent="0.25">
      <c r="A24" s="164" t="s">
        <v>20</v>
      </c>
      <c r="B24" s="165">
        <v>295800</v>
      </c>
      <c r="C24" s="165">
        <v>295800</v>
      </c>
      <c r="D24" s="165">
        <v>295800</v>
      </c>
      <c r="E24" s="165">
        <v>295800</v>
      </c>
      <c r="F24" s="165">
        <v>295800</v>
      </c>
      <c r="G24" s="165">
        <v>295800</v>
      </c>
      <c r="H24" s="165">
        <v>295800</v>
      </c>
      <c r="I24" s="165">
        <v>295800</v>
      </c>
      <c r="J24" s="165">
        <v>295800</v>
      </c>
      <c r="K24" s="165">
        <v>295800</v>
      </c>
      <c r="L24" s="165">
        <v>295800</v>
      </c>
      <c r="M24" s="165">
        <v>295800</v>
      </c>
      <c r="N24" s="165">
        <f>SUM(B24:M24)</f>
        <v>3549600</v>
      </c>
      <c r="O24" s="165">
        <v>1499250</v>
      </c>
      <c r="P24" s="165">
        <f>N24</f>
        <v>3549600</v>
      </c>
    </row>
    <row r="25" spans="1:16" x14ac:dyDescent="0.25">
      <c r="A25" s="166" t="s">
        <v>199</v>
      </c>
      <c r="B25" s="167">
        <f t="shared" ref="B25:N25" si="6">SUM(B24)</f>
        <v>295800</v>
      </c>
      <c r="C25" s="167">
        <f t="shared" si="6"/>
        <v>295800</v>
      </c>
      <c r="D25" s="167">
        <f t="shared" si="6"/>
        <v>295800</v>
      </c>
      <c r="E25" s="167">
        <f t="shared" si="6"/>
        <v>295800</v>
      </c>
      <c r="F25" s="167">
        <f t="shared" si="6"/>
        <v>295800</v>
      </c>
      <c r="G25" s="167">
        <f t="shared" si="6"/>
        <v>295800</v>
      </c>
      <c r="H25" s="167">
        <f t="shared" si="6"/>
        <v>295800</v>
      </c>
      <c r="I25" s="167">
        <f t="shared" si="6"/>
        <v>295800</v>
      </c>
      <c r="J25" s="167">
        <f t="shared" si="6"/>
        <v>295800</v>
      </c>
      <c r="K25" s="167">
        <f t="shared" si="6"/>
        <v>295800</v>
      </c>
      <c r="L25" s="167">
        <f t="shared" si="6"/>
        <v>295800</v>
      </c>
      <c r="M25" s="167">
        <f t="shared" si="6"/>
        <v>295800</v>
      </c>
      <c r="N25" s="167">
        <f t="shared" si="6"/>
        <v>3549600</v>
      </c>
      <c r="O25" s="167">
        <f>SUM(O24)</f>
        <v>1499250</v>
      </c>
      <c r="P25" s="167">
        <f>SUM(P24)</f>
        <v>3549600</v>
      </c>
    </row>
    <row r="26" spans="1:16" x14ac:dyDescent="0.25">
      <c r="A26" s="168" t="s">
        <v>200</v>
      </c>
      <c r="B26" s="167">
        <f t="shared" ref="B26:N26" si="7">SUM(B19,B22,B25)</f>
        <v>318800</v>
      </c>
      <c r="C26" s="167">
        <f t="shared" si="7"/>
        <v>319000</v>
      </c>
      <c r="D26" s="167">
        <f t="shared" si="7"/>
        <v>319800</v>
      </c>
      <c r="E26" s="167">
        <f t="shared" si="7"/>
        <v>319500</v>
      </c>
      <c r="F26" s="167">
        <f t="shared" si="7"/>
        <v>319500</v>
      </c>
      <c r="G26" s="167">
        <f t="shared" si="7"/>
        <v>319000</v>
      </c>
      <c r="H26" s="167">
        <f t="shared" si="7"/>
        <v>319000</v>
      </c>
      <c r="I26" s="167">
        <f t="shared" si="7"/>
        <v>318800</v>
      </c>
      <c r="J26" s="167">
        <f t="shared" si="7"/>
        <v>318800</v>
      </c>
      <c r="K26" s="167">
        <f t="shared" si="7"/>
        <v>318800</v>
      </c>
      <c r="L26" s="167">
        <f t="shared" si="7"/>
        <v>318800</v>
      </c>
      <c r="M26" s="167">
        <f t="shared" si="7"/>
        <v>318800</v>
      </c>
      <c r="N26" s="167">
        <f t="shared" si="7"/>
        <v>3828600</v>
      </c>
      <c r="O26" s="167">
        <f>SUM(O19,O22,O25)</f>
        <v>1500938.87</v>
      </c>
      <c r="P26" s="167">
        <f>SUM(P19,P22,P25)</f>
        <v>3827840</v>
      </c>
    </row>
    <row r="27" spans="1:16" x14ac:dyDescent="0.25">
      <c r="A27" s="161" t="s">
        <v>201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</row>
    <row r="28" spans="1:16" x14ac:dyDescent="0.25">
      <c r="A28" s="163" t="s">
        <v>202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</row>
    <row r="29" spans="1:16" x14ac:dyDescent="0.25">
      <c r="A29" s="164" t="s">
        <v>140</v>
      </c>
      <c r="B29" s="165">
        <v>-1250</v>
      </c>
      <c r="C29" s="165">
        <v>-1250</v>
      </c>
      <c r="D29" s="165">
        <v>-1250</v>
      </c>
      <c r="E29" s="165">
        <v>-1250</v>
      </c>
      <c r="F29" s="165">
        <v>-1250</v>
      </c>
      <c r="G29" s="165">
        <v>-1250</v>
      </c>
      <c r="H29" s="165">
        <v>-1250</v>
      </c>
      <c r="I29" s="165">
        <v>-1250</v>
      </c>
      <c r="J29" s="165">
        <v>-1250</v>
      </c>
      <c r="K29" s="165">
        <v>-1250</v>
      </c>
      <c r="L29" s="165">
        <v>-1250</v>
      </c>
      <c r="M29" s="165">
        <v>-1250</v>
      </c>
      <c r="N29" s="165">
        <f>SUM(B29:M29)</f>
        <v>-15000</v>
      </c>
      <c r="O29" s="165">
        <v>0</v>
      </c>
      <c r="P29" s="165">
        <v>-15000</v>
      </c>
    </row>
    <row r="30" spans="1:16" x14ac:dyDescent="0.25">
      <c r="A30" s="166" t="s">
        <v>203</v>
      </c>
      <c r="B30" s="167">
        <f t="shared" ref="B30:N31" si="8">SUM(B29)</f>
        <v>-1250</v>
      </c>
      <c r="C30" s="167">
        <f t="shared" si="8"/>
        <v>-1250</v>
      </c>
      <c r="D30" s="167">
        <f t="shared" si="8"/>
        <v>-1250</v>
      </c>
      <c r="E30" s="167">
        <f t="shared" si="8"/>
        <v>-1250</v>
      </c>
      <c r="F30" s="167">
        <f t="shared" si="8"/>
        <v>-1250</v>
      </c>
      <c r="G30" s="167">
        <f t="shared" si="8"/>
        <v>-1250</v>
      </c>
      <c r="H30" s="167">
        <f t="shared" si="8"/>
        <v>-1250</v>
      </c>
      <c r="I30" s="167">
        <f t="shared" si="8"/>
        <v>-1250</v>
      </c>
      <c r="J30" s="167">
        <f t="shared" si="8"/>
        <v>-1250</v>
      </c>
      <c r="K30" s="167">
        <f t="shared" si="8"/>
        <v>-1250</v>
      </c>
      <c r="L30" s="167">
        <f t="shared" si="8"/>
        <v>-1250</v>
      </c>
      <c r="M30" s="167">
        <f t="shared" si="8"/>
        <v>-1250</v>
      </c>
      <c r="N30" s="167">
        <f t="shared" si="8"/>
        <v>-15000</v>
      </c>
      <c r="O30" s="167">
        <f>SUM(O29)</f>
        <v>0</v>
      </c>
      <c r="P30" s="167">
        <f>SUM(P29)</f>
        <v>-15000</v>
      </c>
    </row>
    <row r="31" spans="1:16" x14ac:dyDescent="0.25">
      <c r="A31" s="168" t="s">
        <v>204</v>
      </c>
      <c r="B31" s="167">
        <f t="shared" si="8"/>
        <v>-1250</v>
      </c>
      <c r="C31" s="167">
        <f t="shared" si="8"/>
        <v>-1250</v>
      </c>
      <c r="D31" s="167">
        <f t="shared" si="8"/>
        <v>-1250</v>
      </c>
      <c r="E31" s="167">
        <f t="shared" si="8"/>
        <v>-1250</v>
      </c>
      <c r="F31" s="167">
        <f t="shared" si="8"/>
        <v>-1250</v>
      </c>
      <c r="G31" s="167">
        <f t="shared" si="8"/>
        <v>-1250</v>
      </c>
      <c r="H31" s="167">
        <f t="shared" si="8"/>
        <v>-1250</v>
      </c>
      <c r="I31" s="167">
        <f t="shared" si="8"/>
        <v>-1250</v>
      </c>
      <c r="J31" s="167">
        <f t="shared" si="8"/>
        <v>-1250</v>
      </c>
      <c r="K31" s="167">
        <f t="shared" si="8"/>
        <v>-1250</v>
      </c>
      <c r="L31" s="167">
        <f t="shared" si="8"/>
        <v>-1250</v>
      </c>
      <c r="M31" s="167">
        <f t="shared" si="8"/>
        <v>-1250</v>
      </c>
      <c r="N31" s="167">
        <f t="shared" si="8"/>
        <v>-15000</v>
      </c>
      <c r="O31" s="167">
        <f>SUM(O30)</f>
        <v>0</v>
      </c>
      <c r="P31" s="167">
        <f>SUM(P30)</f>
        <v>-15000</v>
      </c>
    </row>
    <row r="32" spans="1:16" x14ac:dyDescent="0.25">
      <c r="A32" s="159" t="s">
        <v>29</v>
      </c>
      <c r="B32" s="160">
        <f t="shared" ref="B32:N32" si="9">B14+B26+B31</f>
        <v>317550</v>
      </c>
      <c r="C32" s="160">
        <f t="shared" si="9"/>
        <v>317750</v>
      </c>
      <c r="D32" s="160">
        <f t="shared" si="9"/>
        <v>318550</v>
      </c>
      <c r="E32" s="160">
        <f t="shared" si="9"/>
        <v>318250</v>
      </c>
      <c r="F32" s="160">
        <f t="shared" si="9"/>
        <v>318250</v>
      </c>
      <c r="G32" s="160">
        <f t="shared" si="9"/>
        <v>317750</v>
      </c>
      <c r="H32" s="160">
        <f t="shared" si="9"/>
        <v>317750</v>
      </c>
      <c r="I32" s="160">
        <f t="shared" si="9"/>
        <v>317550</v>
      </c>
      <c r="J32" s="160">
        <f t="shared" si="9"/>
        <v>317550</v>
      </c>
      <c r="K32" s="160">
        <f t="shared" si="9"/>
        <v>317550</v>
      </c>
      <c r="L32" s="160">
        <f t="shared" si="9"/>
        <v>317550</v>
      </c>
      <c r="M32" s="160">
        <f t="shared" si="9"/>
        <v>317550</v>
      </c>
      <c r="N32" s="160">
        <f t="shared" si="9"/>
        <v>3813600</v>
      </c>
      <c r="O32" s="160">
        <f>O14+O26+O31</f>
        <v>1500938.87</v>
      </c>
      <c r="P32" s="160">
        <f>P14+P26+P31</f>
        <v>3812840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1E8A-21DA-6346-A21F-AE06FD92EDF8}">
  <sheetPr codeName="Sheet3">
    <tabColor rgb="FFFFC000"/>
    <pageSetUpPr fitToPage="1"/>
  </sheetPr>
  <dimension ref="A1:N40"/>
  <sheetViews>
    <sheetView workbookViewId="0">
      <pane xSplit="1" ySplit="7" topLeftCell="B17" activePane="bottomRight" state="frozen"/>
      <selection pane="topRight" activeCell="B24" sqref="B24"/>
      <selection pane="bottomLeft" activeCell="B24" sqref="B24"/>
      <selection pane="bottomRight" activeCell="E36" sqref="E36"/>
    </sheetView>
  </sheetViews>
  <sheetFormatPr defaultColWidth="8.875" defaultRowHeight="15.75" x14ac:dyDescent="0.25"/>
  <cols>
    <col min="1" max="1" width="67.125" bestFit="1" customWidth="1"/>
    <col min="2" max="13" width="8.125" bestFit="1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205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206</v>
      </c>
      <c r="B11" s="165">
        <v>1700</v>
      </c>
      <c r="C11" s="165">
        <v>1700</v>
      </c>
      <c r="D11" s="165">
        <v>1700</v>
      </c>
      <c r="E11" s="165">
        <v>1700</v>
      </c>
      <c r="F11" s="165">
        <v>1700</v>
      </c>
      <c r="G11" s="165">
        <v>1700</v>
      </c>
      <c r="H11" s="165">
        <v>1700</v>
      </c>
      <c r="I11" s="165">
        <v>1700</v>
      </c>
      <c r="J11" s="165">
        <v>1700</v>
      </c>
      <c r="K11" s="165">
        <v>1700</v>
      </c>
      <c r="L11" s="165">
        <v>1700</v>
      </c>
      <c r="M11" s="165">
        <v>1700</v>
      </c>
      <c r="N11" s="165">
        <f t="shared" ref="N11:N20" si="1">SUM(B11:M11)</f>
        <v>20400</v>
      </c>
    </row>
    <row r="12" spans="1:14" x14ac:dyDescent="0.25">
      <c r="A12" s="164" t="s">
        <v>207</v>
      </c>
      <c r="B12" s="165">
        <v>20</v>
      </c>
      <c r="C12" s="165">
        <v>20</v>
      </c>
      <c r="D12" s="165">
        <v>20</v>
      </c>
      <c r="E12" s="165">
        <v>20</v>
      </c>
      <c r="F12" s="165">
        <v>20</v>
      </c>
      <c r="G12" s="165">
        <v>20</v>
      </c>
      <c r="H12" s="165">
        <v>20</v>
      </c>
      <c r="I12" s="165">
        <v>20</v>
      </c>
      <c r="J12" s="165">
        <v>20</v>
      </c>
      <c r="K12" s="165">
        <v>20</v>
      </c>
      <c r="L12" s="165">
        <v>20</v>
      </c>
      <c r="M12" s="165">
        <v>20</v>
      </c>
      <c r="N12" s="165">
        <f t="shared" si="1"/>
        <v>240</v>
      </c>
    </row>
    <row r="13" spans="1:14" x14ac:dyDescent="0.25">
      <c r="A13" s="164" t="s">
        <v>208</v>
      </c>
      <c r="B13" s="165">
        <v>6000</v>
      </c>
      <c r="C13" s="165">
        <v>6000</v>
      </c>
      <c r="D13" s="165">
        <v>6000</v>
      </c>
      <c r="E13" s="165">
        <v>6000</v>
      </c>
      <c r="F13" s="165">
        <v>6000</v>
      </c>
      <c r="G13" s="165">
        <v>6000</v>
      </c>
      <c r="H13" s="165">
        <v>6000</v>
      </c>
      <c r="I13" s="165">
        <v>6000</v>
      </c>
      <c r="J13" s="165">
        <v>6000</v>
      </c>
      <c r="K13" s="165">
        <v>6000</v>
      </c>
      <c r="L13" s="165">
        <v>6000</v>
      </c>
      <c r="M13" s="165">
        <v>6000</v>
      </c>
      <c r="N13" s="165">
        <f t="shared" si="1"/>
        <v>72000</v>
      </c>
    </row>
    <row r="14" spans="1:14" x14ac:dyDescent="0.25">
      <c r="A14" s="164" t="s">
        <v>209</v>
      </c>
      <c r="B14" s="165">
        <v>20000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1"/>
        <v>20000</v>
      </c>
    </row>
    <row r="15" spans="1:14" x14ac:dyDescent="0.25">
      <c r="A15" s="164" t="s">
        <v>210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750</v>
      </c>
      <c r="I15" s="165">
        <v>100</v>
      </c>
      <c r="J15" s="165">
        <v>0</v>
      </c>
      <c r="K15" s="165">
        <v>0</v>
      </c>
      <c r="L15" s="165">
        <v>0</v>
      </c>
      <c r="M15" s="165">
        <v>0</v>
      </c>
      <c r="N15" s="165">
        <f t="shared" si="1"/>
        <v>850</v>
      </c>
    </row>
    <row r="16" spans="1:14" x14ac:dyDescent="0.25">
      <c r="A16" s="164" t="s">
        <v>211</v>
      </c>
      <c r="B16" s="165">
        <v>125</v>
      </c>
      <c r="C16" s="165">
        <v>125</v>
      </c>
      <c r="D16" s="165">
        <v>125</v>
      </c>
      <c r="E16" s="165">
        <v>125</v>
      </c>
      <c r="F16" s="165">
        <v>125</v>
      </c>
      <c r="G16" s="165">
        <v>125</v>
      </c>
      <c r="H16" s="165">
        <v>125</v>
      </c>
      <c r="I16" s="165">
        <v>125</v>
      </c>
      <c r="J16" s="165">
        <v>125</v>
      </c>
      <c r="K16" s="165">
        <v>125</v>
      </c>
      <c r="L16" s="165">
        <v>125</v>
      </c>
      <c r="M16" s="165">
        <v>125</v>
      </c>
      <c r="N16" s="165">
        <f t="shared" si="1"/>
        <v>1500</v>
      </c>
    </row>
    <row r="17" spans="1:14" x14ac:dyDescent="0.25">
      <c r="A17" s="164" t="s">
        <v>212</v>
      </c>
      <c r="B17" s="165">
        <v>750</v>
      </c>
      <c r="C17" s="165">
        <v>750</v>
      </c>
      <c r="D17" s="165">
        <v>750</v>
      </c>
      <c r="E17" s="165">
        <v>750</v>
      </c>
      <c r="F17" s="165">
        <v>750</v>
      </c>
      <c r="G17" s="165">
        <v>750</v>
      </c>
      <c r="H17" s="165">
        <v>750</v>
      </c>
      <c r="I17" s="165">
        <v>750</v>
      </c>
      <c r="J17" s="165">
        <v>750</v>
      </c>
      <c r="K17" s="165">
        <v>750</v>
      </c>
      <c r="L17" s="165">
        <v>750</v>
      </c>
      <c r="M17" s="165">
        <v>750</v>
      </c>
      <c r="N17" s="165">
        <f t="shared" si="1"/>
        <v>9000</v>
      </c>
    </row>
    <row r="18" spans="1:14" x14ac:dyDescent="0.25">
      <c r="A18" s="164" t="s">
        <v>213</v>
      </c>
      <c r="B18" s="165">
        <v>0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f t="shared" si="1"/>
        <v>0</v>
      </c>
    </row>
    <row r="19" spans="1:14" x14ac:dyDescent="0.25">
      <c r="A19" s="164" t="s">
        <v>214</v>
      </c>
      <c r="B19" s="165">
        <v>52.71</v>
      </c>
      <c r="C19" s="165">
        <v>52.71</v>
      </c>
      <c r="D19" s="165">
        <v>52.71</v>
      </c>
      <c r="E19" s="165">
        <v>52.71</v>
      </c>
      <c r="F19" s="165">
        <v>52.71</v>
      </c>
      <c r="G19" s="165">
        <v>52.71</v>
      </c>
      <c r="H19" s="165">
        <v>52.71</v>
      </c>
      <c r="I19" s="165">
        <v>52.71</v>
      </c>
      <c r="J19" s="165">
        <v>52.71</v>
      </c>
      <c r="K19" s="165">
        <v>52.71</v>
      </c>
      <c r="L19" s="165">
        <v>52.71</v>
      </c>
      <c r="M19" s="165">
        <v>52.71</v>
      </c>
      <c r="N19" s="165">
        <f t="shared" si="1"/>
        <v>632.52</v>
      </c>
    </row>
    <row r="20" spans="1:14" x14ac:dyDescent="0.25">
      <c r="A20" s="164" t="s">
        <v>215</v>
      </c>
      <c r="B20" s="165">
        <v>11931.78</v>
      </c>
      <c r="C20" s="165">
        <v>11923.64</v>
      </c>
      <c r="D20" s="165">
        <v>11923.64</v>
      </c>
      <c r="E20" s="165">
        <v>11923.64</v>
      </c>
      <c r="F20" s="165">
        <v>11923.64</v>
      </c>
      <c r="G20" s="165">
        <v>11923.64</v>
      </c>
      <c r="H20" s="165">
        <v>11923.64</v>
      </c>
      <c r="I20" s="165">
        <v>11923.64</v>
      </c>
      <c r="J20" s="165">
        <v>11923.64</v>
      </c>
      <c r="K20" s="165">
        <v>11923.64</v>
      </c>
      <c r="L20" s="165">
        <v>11923.64</v>
      </c>
      <c r="M20" s="165">
        <v>11923.64</v>
      </c>
      <c r="N20" s="165">
        <f t="shared" si="1"/>
        <v>143091.82</v>
      </c>
    </row>
    <row r="21" spans="1:14" x14ac:dyDescent="0.25">
      <c r="A21" s="166" t="s">
        <v>190</v>
      </c>
      <c r="B21" s="167">
        <f t="shared" ref="B21:N21" si="2">SUM(B11:B20)</f>
        <v>40579.49</v>
      </c>
      <c r="C21" s="167">
        <f t="shared" si="2"/>
        <v>20571.349999999999</v>
      </c>
      <c r="D21" s="167">
        <f t="shared" si="2"/>
        <v>20571.349999999999</v>
      </c>
      <c r="E21" s="167">
        <f t="shared" si="2"/>
        <v>20571.349999999999</v>
      </c>
      <c r="F21" s="167">
        <f t="shared" si="2"/>
        <v>20571.349999999999</v>
      </c>
      <c r="G21" s="167">
        <f t="shared" si="2"/>
        <v>20571.349999999999</v>
      </c>
      <c r="H21" s="167">
        <f t="shared" si="2"/>
        <v>21321.35</v>
      </c>
      <c r="I21" s="167">
        <f t="shared" si="2"/>
        <v>20671.349999999999</v>
      </c>
      <c r="J21" s="167">
        <f t="shared" si="2"/>
        <v>20571.349999999999</v>
      </c>
      <c r="K21" s="167">
        <f t="shared" si="2"/>
        <v>20571.349999999999</v>
      </c>
      <c r="L21" s="167">
        <f t="shared" si="2"/>
        <v>20571.349999999999</v>
      </c>
      <c r="M21" s="167">
        <f t="shared" si="2"/>
        <v>20571.349999999999</v>
      </c>
      <c r="N21" s="167">
        <f t="shared" si="2"/>
        <v>267714.34000000003</v>
      </c>
    </row>
    <row r="22" spans="1:14" x14ac:dyDescent="0.25">
      <c r="A22" s="163" t="s">
        <v>216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x14ac:dyDescent="0.25">
      <c r="A23" s="164" t="s">
        <v>217</v>
      </c>
      <c r="B23" s="165">
        <v>5758.774365272373</v>
      </c>
      <c r="C23" s="165">
        <v>6061.8677529182869</v>
      </c>
      <c r="D23" s="165">
        <v>6364.9611405642008</v>
      </c>
      <c r="E23" s="165">
        <v>6668.0545282101157</v>
      </c>
      <c r="F23" s="165">
        <v>6971.1479158560296</v>
      </c>
      <c r="G23" s="165">
        <v>6061.8677529182869</v>
      </c>
      <c r="H23" s="165">
        <v>6971.1479158560296</v>
      </c>
      <c r="I23" s="165">
        <v>6668.0545282101157</v>
      </c>
      <c r="J23" s="165">
        <v>6364.9611405642008</v>
      </c>
      <c r="K23" s="165">
        <v>6971.1479158560296</v>
      </c>
      <c r="L23" s="165">
        <v>6364.9611405642008</v>
      </c>
      <c r="M23" s="165">
        <v>6668.0545282101157</v>
      </c>
      <c r="N23" s="165">
        <f>SUM(B23:M23)</f>
        <v>77895.000624999986</v>
      </c>
    </row>
    <row r="24" spans="1:14" x14ac:dyDescent="0.25">
      <c r="A24" s="164" t="s">
        <v>218</v>
      </c>
      <c r="B24" s="165">
        <v>1188.2983412212725</v>
      </c>
      <c r="C24" s="165">
        <v>1250.8403591802869</v>
      </c>
      <c r="D24" s="165">
        <v>1313.3823771393013</v>
      </c>
      <c r="E24" s="165">
        <v>1375.9243950983157</v>
      </c>
      <c r="F24" s="165">
        <v>1438.4664130573299</v>
      </c>
      <c r="G24" s="165">
        <v>1250.8403591802869</v>
      </c>
      <c r="H24" s="165">
        <v>1438.4664130573299</v>
      </c>
      <c r="I24" s="165">
        <v>1375.9243950983157</v>
      </c>
      <c r="J24" s="165">
        <v>1313.3823771393013</v>
      </c>
      <c r="K24" s="165">
        <v>1438.4664130573299</v>
      </c>
      <c r="L24" s="165">
        <v>1313.3823771393013</v>
      </c>
      <c r="M24" s="165">
        <v>1375.9243950983157</v>
      </c>
      <c r="N24" s="165">
        <f>SUM(B24:M24)</f>
        <v>16073.298615466689</v>
      </c>
    </row>
    <row r="25" spans="1:14" x14ac:dyDescent="0.25">
      <c r="A25" s="164" t="s">
        <v>219</v>
      </c>
      <c r="B25" s="165">
        <v>61.020725630281561</v>
      </c>
      <c r="C25" s="165">
        <v>64.23234276871743</v>
      </c>
      <c r="D25" s="165">
        <v>67.4439599071533</v>
      </c>
      <c r="E25" s="165">
        <v>70.655577045589169</v>
      </c>
      <c r="F25" s="165">
        <v>73.867194184025038</v>
      </c>
      <c r="G25" s="165">
        <v>64.23234276871743</v>
      </c>
      <c r="H25" s="165">
        <v>73.867194184025038</v>
      </c>
      <c r="I25" s="165">
        <v>70.655577045589169</v>
      </c>
      <c r="J25" s="165">
        <v>67.4439599071533</v>
      </c>
      <c r="K25" s="165">
        <v>73.867194184025038</v>
      </c>
      <c r="L25" s="165">
        <v>67.4439599071533</v>
      </c>
      <c r="M25" s="165">
        <v>70.655577045589169</v>
      </c>
      <c r="N25" s="165">
        <f>SUM(B25:M25)</f>
        <v>825.38560457801896</v>
      </c>
    </row>
    <row r="26" spans="1:14" x14ac:dyDescent="0.25">
      <c r="A26" s="164" t="s">
        <v>220</v>
      </c>
      <c r="B26" s="165">
        <v>520.49055246756154</v>
      </c>
      <c r="C26" s="165">
        <v>547.88479207111743</v>
      </c>
      <c r="D26" s="165">
        <v>575.27903167467321</v>
      </c>
      <c r="E26" s="165">
        <v>602.67327127822909</v>
      </c>
      <c r="F26" s="165">
        <v>630.06751088178498</v>
      </c>
      <c r="G26" s="165">
        <v>547.88479207111743</v>
      </c>
      <c r="H26" s="165">
        <v>630.06751088178498</v>
      </c>
      <c r="I26" s="165">
        <v>602.67327127822909</v>
      </c>
      <c r="J26" s="165">
        <v>575.27903167467321</v>
      </c>
      <c r="K26" s="165">
        <v>630.06751088178498</v>
      </c>
      <c r="L26" s="165">
        <v>575.27903167467321</v>
      </c>
      <c r="M26" s="165">
        <v>602.67327127822909</v>
      </c>
      <c r="N26" s="165">
        <f>SUM(B26:M26)</f>
        <v>7040.3195781138584</v>
      </c>
    </row>
    <row r="27" spans="1:14" x14ac:dyDescent="0.25">
      <c r="A27" s="164" t="s">
        <v>221</v>
      </c>
      <c r="B27" s="165">
        <v>143.96935913180931</v>
      </c>
      <c r="C27" s="165">
        <v>151.54669382295717</v>
      </c>
      <c r="D27" s="165">
        <v>159.12402851410502</v>
      </c>
      <c r="E27" s="165">
        <v>166.70136320525287</v>
      </c>
      <c r="F27" s="165">
        <v>174.27869789640076</v>
      </c>
      <c r="G27" s="165">
        <v>151.54669382295717</v>
      </c>
      <c r="H27" s="165">
        <v>174.27869789640076</v>
      </c>
      <c r="I27" s="165">
        <v>166.70136320525287</v>
      </c>
      <c r="J27" s="165">
        <v>159.12402851410502</v>
      </c>
      <c r="K27" s="165">
        <v>174.27869789640076</v>
      </c>
      <c r="L27" s="165">
        <v>159.12402851410502</v>
      </c>
      <c r="M27" s="165">
        <v>166.70136320525287</v>
      </c>
      <c r="N27" s="165">
        <f>SUM(B27:M27)</f>
        <v>1947.3750156249994</v>
      </c>
    </row>
    <row r="28" spans="1:14" x14ac:dyDescent="0.25">
      <c r="A28" s="166" t="s">
        <v>222</v>
      </c>
      <c r="B28" s="167">
        <f t="shared" ref="B28:N28" si="3">SUM(B23:B27)</f>
        <v>7672.553343723298</v>
      </c>
      <c r="C28" s="167">
        <f t="shared" si="3"/>
        <v>8076.3719407613662</v>
      </c>
      <c r="D28" s="167">
        <f t="shared" si="3"/>
        <v>8480.1905377994335</v>
      </c>
      <c r="E28" s="167">
        <f t="shared" si="3"/>
        <v>8884.0091348375026</v>
      </c>
      <c r="F28" s="167">
        <f t="shared" si="3"/>
        <v>9287.8277318755718</v>
      </c>
      <c r="G28" s="167">
        <f t="shared" si="3"/>
        <v>8076.3719407613662</v>
      </c>
      <c r="H28" s="167">
        <f t="shared" si="3"/>
        <v>9287.8277318755718</v>
      </c>
      <c r="I28" s="167">
        <f t="shared" si="3"/>
        <v>8884.0091348375026</v>
      </c>
      <c r="J28" s="167">
        <f t="shared" si="3"/>
        <v>8480.1905377994335</v>
      </c>
      <c r="K28" s="167">
        <f t="shared" si="3"/>
        <v>9287.8277318755718</v>
      </c>
      <c r="L28" s="167">
        <f t="shared" si="3"/>
        <v>8480.1905377994335</v>
      </c>
      <c r="M28" s="167">
        <f t="shared" si="3"/>
        <v>8884.0091348375026</v>
      </c>
      <c r="N28" s="167">
        <f t="shared" si="3"/>
        <v>103781.37943878355</v>
      </c>
    </row>
    <row r="29" spans="1:14" x14ac:dyDescent="0.25">
      <c r="A29" s="168" t="s">
        <v>191</v>
      </c>
      <c r="B29" s="167">
        <f t="shared" ref="B29:N29" si="4">SUM(B21,B28)</f>
        <v>48252.043343723293</v>
      </c>
      <c r="C29" s="167">
        <f t="shared" si="4"/>
        <v>28647.721940761367</v>
      </c>
      <c r="D29" s="167">
        <f t="shared" si="4"/>
        <v>29051.540537799432</v>
      </c>
      <c r="E29" s="167">
        <f t="shared" si="4"/>
        <v>29455.359134837501</v>
      </c>
      <c r="F29" s="167">
        <f t="shared" si="4"/>
        <v>29859.17773187557</v>
      </c>
      <c r="G29" s="167">
        <f t="shared" si="4"/>
        <v>28647.721940761367</v>
      </c>
      <c r="H29" s="167">
        <f t="shared" si="4"/>
        <v>30609.17773187557</v>
      </c>
      <c r="I29" s="167">
        <f t="shared" si="4"/>
        <v>29555.359134837501</v>
      </c>
      <c r="J29" s="167">
        <f t="shared" si="4"/>
        <v>29051.540537799432</v>
      </c>
      <c r="K29" s="167">
        <f t="shared" si="4"/>
        <v>29859.17773187557</v>
      </c>
      <c r="L29" s="167">
        <f t="shared" si="4"/>
        <v>29051.540537799432</v>
      </c>
      <c r="M29" s="167">
        <f t="shared" si="4"/>
        <v>29455.359134837501</v>
      </c>
      <c r="N29" s="167">
        <f t="shared" si="4"/>
        <v>371495.71943878359</v>
      </c>
    </row>
    <row r="30" spans="1:14" x14ac:dyDescent="0.25">
      <c r="A30" s="159" t="s">
        <v>192</v>
      </c>
      <c r="B30" s="160">
        <f t="shared" ref="B30:N30" si="5">B8-B29</f>
        <v>-48252.043343723293</v>
      </c>
      <c r="C30" s="160">
        <f t="shared" si="5"/>
        <v>-28647.721940761367</v>
      </c>
      <c r="D30" s="160">
        <f t="shared" si="5"/>
        <v>-29051.540537799432</v>
      </c>
      <c r="E30" s="160">
        <f t="shared" si="5"/>
        <v>-29455.359134837501</v>
      </c>
      <c r="F30" s="160">
        <f t="shared" si="5"/>
        <v>-29859.17773187557</v>
      </c>
      <c r="G30" s="160">
        <f t="shared" si="5"/>
        <v>-28647.721940761367</v>
      </c>
      <c r="H30" s="160">
        <f t="shared" si="5"/>
        <v>-30609.17773187557</v>
      </c>
      <c r="I30" s="160">
        <f t="shared" si="5"/>
        <v>-29555.359134837501</v>
      </c>
      <c r="J30" s="160">
        <f t="shared" si="5"/>
        <v>-29051.540537799432</v>
      </c>
      <c r="K30" s="160">
        <f t="shared" si="5"/>
        <v>-29859.17773187557</v>
      </c>
      <c r="L30" s="160">
        <f t="shared" si="5"/>
        <v>-29051.540537799432</v>
      </c>
      <c r="M30" s="160">
        <f t="shared" si="5"/>
        <v>-29455.359134837501</v>
      </c>
      <c r="N30" s="160">
        <f t="shared" si="5"/>
        <v>-371495.71943878359</v>
      </c>
    </row>
    <row r="31" spans="1:14" x14ac:dyDescent="0.25">
      <c r="A31" s="161" t="s">
        <v>193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 x14ac:dyDescent="0.25">
      <c r="A32" s="163" t="s">
        <v>196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 x14ac:dyDescent="0.25">
      <c r="A33" s="164" t="s">
        <v>223</v>
      </c>
      <c r="B33" s="165">
        <v>4500</v>
      </c>
      <c r="C33" s="165">
        <v>4500</v>
      </c>
      <c r="D33" s="165">
        <v>4500</v>
      </c>
      <c r="E33" s="165">
        <v>4500</v>
      </c>
      <c r="F33" s="165">
        <v>4500</v>
      </c>
      <c r="G33" s="165">
        <v>4500</v>
      </c>
      <c r="H33" s="165">
        <v>4500</v>
      </c>
      <c r="I33" s="165">
        <v>4500</v>
      </c>
      <c r="J33" s="165">
        <v>4500</v>
      </c>
      <c r="K33" s="165">
        <v>4500</v>
      </c>
      <c r="L33" s="165">
        <v>4500</v>
      </c>
      <c r="M33" s="165">
        <v>4500</v>
      </c>
      <c r="N33" s="165">
        <f>SUM(B33:M33)</f>
        <v>54000</v>
      </c>
    </row>
    <row r="34" spans="1:14" x14ac:dyDescent="0.25">
      <c r="A34" s="164" t="s">
        <v>224</v>
      </c>
      <c r="B34" s="165">
        <v>0</v>
      </c>
      <c r="C34" s="165">
        <v>0</v>
      </c>
      <c r="D34" s="165">
        <v>0</v>
      </c>
      <c r="E34" s="165">
        <v>4253.55</v>
      </c>
      <c r="F34" s="165">
        <v>0</v>
      </c>
      <c r="G34" s="165">
        <v>0</v>
      </c>
      <c r="H34" s="165">
        <v>4253.55</v>
      </c>
      <c r="I34" s="165">
        <v>0</v>
      </c>
      <c r="J34" s="165">
        <v>0</v>
      </c>
      <c r="K34" s="165">
        <v>4253.55</v>
      </c>
      <c r="L34" s="165">
        <v>0</v>
      </c>
      <c r="M34" s="165">
        <v>4253.55</v>
      </c>
      <c r="N34" s="165">
        <f>SUM(B34:M34)</f>
        <v>17014.2</v>
      </c>
    </row>
    <row r="35" spans="1:14" x14ac:dyDescent="0.25">
      <c r="A35" s="166" t="s">
        <v>197</v>
      </c>
      <c r="B35" s="167">
        <f>SUM(B33:B34)</f>
        <v>4500</v>
      </c>
      <c r="C35" s="167">
        <f t="shared" ref="C35:N35" si="6">SUM(C33:C34)</f>
        <v>4500</v>
      </c>
      <c r="D35" s="167">
        <f t="shared" si="6"/>
        <v>4500</v>
      </c>
      <c r="E35" s="167">
        <f t="shared" si="6"/>
        <v>8753.5499999999993</v>
      </c>
      <c r="F35" s="167">
        <f t="shared" si="6"/>
        <v>4500</v>
      </c>
      <c r="G35" s="167">
        <f t="shared" si="6"/>
        <v>4500</v>
      </c>
      <c r="H35" s="167">
        <f t="shared" si="6"/>
        <v>8753.5499999999993</v>
      </c>
      <c r="I35" s="167">
        <f t="shared" si="6"/>
        <v>4500</v>
      </c>
      <c r="J35" s="167">
        <f t="shared" si="6"/>
        <v>4500</v>
      </c>
      <c r="K35" s="167">
        <f t="shared" si="6"/>
        <v>8753.5499999999993</v>
      </c>
      <c r="L35" s="167">
        <f t="shared" si="6"/>
        <v>4500</v>
      </c>
      <c r="M35" s="167">
        <f t="shared" si="6"/>
        <v>8753.5499999999993</v>
      </c>
      <c r="N35" s="167">
        <f t="shared" si="6"/>
        <v>71014.2</v>
      </c>
    </row>
    <row r="36" spans="1:14" x14ac:dyDescent="0.25">
      <c r="A36" s="163" t="s">
        <v>225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 x14ac:dyDescent="0.25">
      <c r="A37" s="164" t="s">
        <v>226</v>
      </c>
      <c r="B37" s="165">
        <v>24171.15</v>
      </c>
      <c r="C37" s="165">
        <v>24171.15</v>
      </c>
      <c r="D37" s="165">
        <v>24171.15</v>
      </c>
      <c r="E37" s="165">
        <v>24171.15</v>
      </c>
      <c r="F37" s="165">
        <v>24171.15</v>
      </c>
      <c r="G37" s="165">
        <v>24171.15</v>
      </c>
      <c r="H37" s="165">
        <v>24171.15</v>
      </c>
      <c r="I37" s="165">
        <v>24171.15</v>
      </c>
      <c r="J37" s="165">
        <v>24171.15</v>
      </c>
      <c r="K37" s="165">
        <v>24171.15</v>
      </c>
      <c r="L37" s="165">
        <v>24171.15</v>
      </c>
      <c r="M37" s="165">
        <v>24171.15</v>
      </c>
      <c r="N37" s="165">
        <f>SUM(B37:M37)</f>
        <v>290053.8</v>
      </c>
    </row>
    <row r="38" spans="1:14" x14ac:dyDescent="0.25">
      <c r="A38" s="166" t="s">
        <v>227</v>
      </c>
      <c r="B38" s="167">
        <f t="shared" ref="B38:N38" si="7">SUM(B37)</f>
        <v>24171.15</v>
      </c>
      <c r="C38" s="167">
        <f t="shared" si="7"/>
        <v>24171.15</v>
      </c>
      <c r="D38" s="167">
        <f t="shared" si="7"/>
        <v>24171.15</v>
      </c>
      <c r="E38" s="167">
        <f t="shared" si="7"/>
        <v>24171.15</v>
      </c>
      <c r="F38" s="167">
        <f t="shared" si="7"/>
        <v>24171.15</v>
      </c>
      <c r="G38" s="167">
        <f t="shared" si="7"/>
        <v>24171.15</v>
      </c>
      <c r="H38" s="167">
        <f t="shared" si="7"/>
        <v>24171.15</v>
      </c>
      <c r="I38" s="167">
        <f t="shared" si="7"/>
        <v>24171.15</v>
      </c>
      <c r="J38" s="167">
        <f t="shared" si="7"/>
        <v>24171.15</v>
      </c>
      <c r="K38" s="167">
        <f t="shared" si="7"/>
        <v>24171.15</v>
      </c>
      <c r="L38" s="167">
        <f t="shared" si="7"/>
        <v>24171.15</v>
      </c>
      <c r="M38" s="167">
        <f t="shared" si="7"/>
        <v>24171.15</v>
      </c>
      <c r="N38" s="167">
        <f t="shared" si="7"/>
        <v>290053.8</v>
      </c>
    </row>
    <row r="39" spans="1:14" x14ac:dyDescent="0.25">
      <c r="A39" s="168" t="s">
        <v>200</v>
      </c>
      <c r="B39" s="167">
        <f t="shared" ref="B39:N39" si="8">SUM(B35,B38)</f>
        <v>28671.15</v>
      </c>
      <c r="C39" s="167">
        <f t="shared" si="8"/>
        <v>28671.15</v>
      </c>
      <c r="D39" s="167">
        <f t="shared" si="8"/>
        <v>28671.15</v>
      </c>
      <c r="E39" s="167">
        <f t="shared" si="8"/>
        <v>32924.699999999997</v>
      </c>
      <c r="F39" s="167">
        <f t="shared" si="8"/>
        <v>28671.15</v>
      </c>
      <c r="G39" s="167">
        <f t="shared" si="8"/>
        <v>28671.15</v>
      </c>
      <c r="H39" s="167">
        <f t="shared" si="8"/>
        <v>32924.699999999997</v>
      </c>
      <c r="I39" s="167">
        <f t="shared" si="8"/>
        <v>28671.15</v>
      </c>
      <c r="J39" s="167">
        <f t="shared" si="8"/>
        <v>28671.15</v>
      </c>
      <c r="K39" s="167">
        <f t="shared" si="8"/>
        <v>32924.699999999997</v>
      </c>
      <c r="L39" s="167">
        <f t="shared" si="8"/>
        <v>28671.15</v>
      </c>
      <c r="M39" s="167">
        <f t="shared" si="8"/>
        <v>32924.699999999997</v>
      </c>
      <c r="N39" s="167">
        <f t="shared" si="8"/>
        <v>361068</v>
      </c>
    </row>
    <row r="40" spans="1:14" x14ac:dyDescent="0.25">
      <c r="A40" s="159" t="s">
        <v>29</v>
      </c>
      <c r="B40" s="160">
        <f t="shared" ref="B40:N40" si="9">B30+B39+0</f>
        <v>-19580.893343723292</v>
      </c>
      <c r="C40" s="160">
        <f t="shared" si="9"/>
        <v>23.428059238634887</v>
      </c>
      <c r="D40" s="160">
        <f t="shared" si="9"/>
        <v>-380.3905377994306</v>
      </c>
      <c r="E40" s="160">
        <f t="shared" si="9"/>
        <v>3469.3408651624959</v>
      </c>
      <c r="F40" s="160">
        <f t="shared" si="9"/>
        <v>-1188.0277318755689</v>
      </c>
      <c r="G40" s="160">
        <f t="shared" si="9"/>
        <v>23.428059238634887</v>
      </c>
      <c r="H40" s="160">
        <f t="shared" si="9"/>
        <v>2315.5222681244268</v>
      </c>
      <c r="I40" s="160">
        <f t="shared" si="9"/>
        <v>-884.20913483749973</v>
      </c>
      <c r="J40" s="160">
        <f t="shared" si="9"/>
        <v>-380.3905377994306</v>
      </c>
      <c r="K40" s="160">
        <f t="shared" si="9"/>
        <v>3065.5222681244268</v>
      </c>
      <c r="L40" s="160">
        <f t="shared" si="9"/>
        <v>-380.3905377994306</v>
      </c>
      <c r="M40" s="160">
        <f t="shared" si="9"/>
        <v>3469.3408651624959</v>
      </c>
      <c r="N40" s="160">
        <f t="shared" si="9"/>
        <v>-10427.719438783592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06A9-CFDB-6842-A125-F382AAEEB6F8}">
  <sheetPr codeName="Sheet4">
    <tabColor rgb="FFFFC000"/>
    <pageSetUpPr fitToPage="1"/>
  </sheetPr>
  <dimension ref="A1:N48"/>
  <sheetViews>
    <sheetView workbookViewId="0">
      <pane xSplit="1" ySplit="7" topLeftCell="B8" activePane="bottomRight" state="frozen"/>
      <selection pane="topRight" activeCell="B24" sqref="B24"/>
      <selection pane="bottomLeft" activeCell="B24" sqref="B24"/>
      <selection pane="bottomRight" activeCell="A25" sqref="A25"/>
    </sheetView>
  </sheetViews>
  <sheetFormatPr defaultColWidth="8.875" defaultRowHeight="15.75" x14ac:dyDescent="0.25"/>
  <cols>
    <col min="1" max="1" width="67.125" bestFit="1" customWidth="1"/>
    <col min="2" max="13" width="8.125" bestFit="1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228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25</v>
      </c>
      <c r="B11" s="165">
        <v>0</v>
      </c>
      <c r="C11" s="165">
        <v>1300</v>
      </c>
      <c r="D11" s="165">
        <v>0</v>
      </c>
      <c r="E11" s="165">
        <v>0</v>
      </c>
      <c r="F11" s="165">
        <v>0</v>
      </c>
      <c r="G11" s="165">
        <v>0</v>
      </c>
      <c r="H11" s="165">
        <v>1000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f>SUM(B11:M11)</f>
        <v>2300</v>
      </c>
    </row>
    <row r="12" spans="1:14" x14ac:dyDescent="0.25">
      <c r="A12" s="164" t="s">
        <v>206</v>
      </c>
      <c r="B12" s="165">
        <v>3980</v>
      </c>
      <c r="C12" s="165">
        <v>3980</v>
      </c>
      <c r="D12" s="165">
        <v>3980</v>
      </c>
      <c r="E12" s="165">
        <v>3980</v>
      </c>
      <c r="F12" s="165">
        <v>3980</v>
      </c>
      <c r="G12" s="165">
        <v>3980</v>
      </c>
      <c r="H12" s="165">
        <v>3980</v>
      </c>
      <c r="I12" s="165">
        <v>3980</v>
      </c>
      <c r="J12" s="165">
        <v>3980</v>
      </c>
      <c r="K12" s="165">
        <v>3980</v>
      </c>
      <c r="L12" s="165">
        <v>3980</v>
      </c>
      <c r="M12" s="165">
        <v>3980</v>
      </c>
      <c r="N12" s="165">
        <f>SUM(B12:M12)</f>
        <v>47760</v>
      </c>
    </row>
    <row r="13" spans="1:14" x14ac:dyDescent="0.25">
      <c r="A13" s="164" t="s">
        <v>229</v>
      </c>
      <c r="B13" s="165">
        <v>20</v>
      </c>
      <c r="C13" s="165">
        <v>20</v>
      </c>
      <c r="D13" s="165">
        <v>20</v>
      </c>
      <c r="E13" s="165">
        <v>20</v>
      </c>
      <c r="F13" s="165">
        <v>20</v>
      </c>
      <c r="G13" s="165">
        <v>20</v>
      </c>
      <c r="H13" s="165">
        <v>20</v>
      </c>
      <c r="I13" s="165">
        <v>20</v>
      </c>
      <c r="J13" s="165">
        <v>20</v>
      </c>
      <c r="K13" s="165">
        <v>20</v>
      </c>
      <c r="L13" s="165">
        <v>20</v>
      </c>
      <c r="M13" s="165">
        <v>20</v>
      </c>
      <c r="N13" s="165">
        <f t="shared" ref="N13:N23" si="1">SUM(B13:M13)</f>
        <v>240</v>
      </c>
    </row>
    <row r="14" spans="1:14" x14ac:dyDescent="0.25">
      <c r="A14" s="164" t="s">
        <v>207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1"/>
        <v>0</v>
      </c>
    </row>
    <row r="15" spans="1:14" x14ac:dyDescent="0.25">
      <c r="A15" s="164" t="s">
        <v>208</v>
      </c>
      <c r="B15" s="165">
        <v>5000</v>
      </c>
      <c r="C15" s="165">
        <v>5000</v>
      </c>
      <c r="D15" s="165">
        <v>5000</v>
      </c>
      <c r="E15" s="165">
        <v>5000</v>
      </c>
      <c r="F15" s="165">
        <v>5000</v>
      </c>
      <c r="G15" s="165">
        <v>5000</v>
      </c>
      <c r="H15" s="165">
        <v>5000</v>
      </c>
      <c r="I15" s="165">
        <v>5000</v>
      </c>
      <c r="J15" s="165">
        <v>5000</v>
      </c>
      <c r="K15" s="165">
        <v>5000</v>
      </c>
      <c r="L15" s="165">
        <v>5000</v>
      </c>
      <c r="M15" s="165">
        <v>5000</v>
      </c>
      <c r="N15" s="165">
        <f t="shared" si="1"/>
        <v>60000</v>
      </c>
    </row>
    <row r="16" spans="1:14" x14ac:dyDescent="0.25">
      <c r="A16" s="164" t="s">
        <v>230</v>
      </c>
      <c r="B16" s="165">
        <v>50</v>
      </c>
      <c r="C16" s="165">
        <v>50</v>
      </c>
      <c r="D16" s="165">
        <v>50</v>
      </c>
      <c r="E16" s="165">
        <v>50</v>
      </c>
      <c r="F16" s="165">
        <v>50</v>
      </c>
      <c r="G16" s="165">
        <v>50</v>
      </c>
      <c r="H16" s="165">
        <v>50</v>
      </c>
      <c r="I16" s="165">
        <v>50</v>
      </c>
      <c r="J16" s="165">
        <v>50</v>
      </c>
      <c r="K16" s="165">
        <v>50</v>
      </c>
      <c r="L16" s="165">
        <v>50</v>
      </c>
      <c r="M16" s="165">
        <v>50</v>
      </c>
      <c r="N16" s="165">
        <f t="shared" si="1"/>
        <v>600</v>
      </c>
    </row>
    <row r="17" spans="1:14" x14ac:dyDescent="0.25">
      <c r="A17" s="164" t="s">
        <v>209</v>
      </c>
      <c r="B17" s="165">
        <v>0</v>
      </c>
      <c r="C17" s="165">
        <v>20000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f t="shared" si="1"/>
        <v>20000</v>
      </c>
    </row>
    <row r="18" spans="1:14" x14ac:dyDescent="0.25">
      <c r="A18" s="164" t="s">
        <v>231</v>
      </c>
      <c r="B18" s="165">
        <v>0</v>
      </c>
      <c r="C18" s="165">
        <v>0</v>
      </c>
      <c r="D18" s="165">
        <v>0</v>
      </c>
      <c r="E18" s="165">
        <v>0</v>
      </c>
      <c r="F18" s="165">
        <v>0</v>
      </c>
      <c r="G18" s="165">
        <v>2500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f t="shared" si="1"/>
        <v>2500</v>
      </c>
    </row>
    <row r="19" spans="1:14" x14ac:dyDescent="0.25">
      <c r="A19" s="164" t="s">
        <v>232</v>
      </c>
      <c r="B19" s="165">
        <v>2000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f t="shared" si="1"/>
        <v>2000</v>
      </c>
    </row>
    <row r="20" spans="1:14" x14ac:dyDescent="0.25">
      <c r="A20" s="164" t="s">
        <v>212</v>
      </c>
      <c r="B20" s="165">
        <v>2000</v>
      </c>
      <c r="C20" s="165">
        <v>2000</v>
      </c>
      <c r="D20" s="165">
        <v>2000</v>
      </c>
      <c r="E20" s="165">
        <v>2000</v>
      </c>
      <c r="F20" s="165">
        <v>2000</v>
      </c>
      <c r="G20" s="165">
        <v>2000</v>
      </c>
      <c r="H20" s="165">
        <v>2000</v>
      </c>
      <c r="I20" s="165">
        <v>2000</v>
      </c>
      <c r="J20" s="165">
        <v>2000</v>
      </c>
      <c r="K20" s="165">
        <v>2000</v>
      </c>
      <c r="L20" s="165">
        <v>2000</v>
      </c>
      <c r="M20" s="165">
        <v>2000</v>
      </c>
      <c r="N20" s="165">
        <f t="shared" si="1"/>
        <v>24000</v>
      </c>
    </row>
    <row r="21" spans="1:14" x14ac:dyDescent="0.25">
      <c r="A21" s="164" t="s">
        <v>213</v>
      </c>
      <c r="B21" s="194">
        <v>446.63</v>
      </c>
      <c r="C21" s="194">
        <v>446.63</v>
      </c>
      <c r="D21" s="194">
        <v>446.63</v>
      </c>
      <c r="E21" s="194">
        <v>446.63</v>
      </c>
      <c r="F21" s="194">
        <v>446.63</v>
      </c>
      <c r="G21" s="194">
        <v>446.63</v>
      </c>
      <c r="H21" s="194">
        <v>446.63</v>
      </c>
      <c r="I21" s="194">
        <v>446.63</v>
      </c>
      <c r="J21" s="194">
        <v>446.63</v>
      </c>
      <c r="K21" s="194">
        <v>446.63</v>
      </c>
      <c r="L21" s="194">
        <v>446.63</v>
      </c>
      <c r="M21" s="194">
        <v>446.63</v>
      </c>
      <c r="N21" s="165">
        <f t="shared" si="1"/>
        <v>5359.56</v>
      </c>
    </row>
    <row r="22" spans="1:14" x14ac:dyDescent="0.25">
      <c r="A22" s="164" t="s">
        <v>214</v>
      </c>
      <c r="B22" s="194">
        <v>2678.47</v>
      </c>
      <c r="C22" s="194">
        <v>2678.47</v>
      </c>
      <c r="D22" s="194">
        <v>2678.47</v>
      </c>
      <c r="E22" s="194">
        <v>2678.47</v>
      </c>
      <c r="F22" s="194">
        <v>2678.47</v>
      </c>
      <c r="G22" s="194">
        <v>2678.47</v>
      </c>
      <c r="H22" s="194">
        <v>2678.47</v>
      </c>
      <c r="I22" s="194">
        <v>2678.47</v>
      </c>
      <c r="J22" s="194">
        <v>2678.47</v>
      </c>
      <c r="K22" s="194">
        <v>2678.47</v>
      </c>
      <c r="L22" s="194">
        <v>2678.47</v>
      </c>
      <c r="M22" s="194">
        <v>2678.47</v>
      </c>
      <c r="N22" s="165">
        <f t="shared" si="1"/>
        <v>32141.640000000003</v>
      </c>
    </row>
    <row r="23" spans="1:14" x14ac:dyDescent="0.25">
      <c r="A23" s="164" t="s">
        <v>215</v>
      </c>
      <c r="B23" s="194">
        <v>3833.46</v>
      </c>
      <c r="C23" s="194">
        <v>3833.46</v>
      </c>
      <c r="D23" s="194">
        <v>3833.46</v>
      </c>
      <c r="E23" s="194">
        <v>3833.46</v>
      </c>
      <c r="F23" s="194">
        <v>3833.46</v>
      </c>
      <c r="G23" s="194">
        <v>3833.46</v>
      </c>
      <c r="H23" s="194">
        <v>3833.46</v>
      </c>
      <c r="I23" s="194">
        <v>3833.46</v>
      </c>
      <c r="J23" s="194">
        <v>3833.46</v>
      </c>
      <c r="K23" s="194">
        <v>3833.46</v>
      </c>
      <c r="L23" s="194">
        <v>3833.46</v>
      </c>
      <c r="M23" s="194">
        <v>3833.46</v>
      </c>
      <c r="N23" s="165">
        <f t="shared" si="1"/>
        <v>46001.52</v>
      </c>
    </row>
    <row r="24" spans="1:14" x14ac:dyDescent="0.25">
      <c r="A24" s="166" t="s">
        <v>190</v>
      </c>
      <c r="B24" s="167">
        <f t="shared" ref="B24:N24" si="2">SUM(B11:B23)</f>
        <v>20008.559999999998</v>
      </c>
      <c r="C24" s="167">
        <f t="shared" si="2"/>
        <v>39308.559999999998</v>
      </c>
      <c r="D24" s="167">
        <f t="shared" si="2"/>
        <v>18008.559999999998</v>
      </c>
      <c r="E24" s="167">
        <f t="shared" si="2"/>
        <v>18008.559999999998</v>
      </c>
      <c r="F24" s="167">
        <f t="shared" si="2"/>
        <v>18008.559999999998</v>
      </c>
      <c r="G24" s="167">
        <f t="shared" si="2"/>
        <v>20508.559999999998</v>
      </c>
      <c r="H24" s="167">
        <f t="shared" si="2"/>
        <v>19008.559999999998</v>
      </c>
      <c r="I24" s="167">
        <f t="shared" si="2"/>
        <v>18008.559999999998</v>
      </c>
      <c r="J24" s="167">
        <f t="shared" si="2"/>
        <v>18008.559999999998</v>
      </c>
      <c r="K24" s="167">
        <f t="shared" si="2"/>
        <v>18008.559999999998</v>
      </c>
      <c r="L24" s="167">
        <f t="shared" si="2"/>
        <v>18008.559999999998</v>
      </c>
      <c r="M24" s="167">
        <f t="shared" si="2"/>
        <v>18008.559999999998</v>
      </c>
      <c r="N24" s="167">
        <f t="shared" si="2"/>
        <v>242902.72</v>
      </c>
    </row>
    <row r="25" spans="1:14" x14ac:dyDescent="0.25">
      <c r="A25" s="163" t="s">
        <v>216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 x14ac:dyDescent="0.25">
      <c r="A26" s="164" t="s">
        <v>217</v>
      </c>
      <c r="B26" s="165">
        <v>5758.774365272373</v>
      </c>
      <c r="C26" s="165">
        <v>6061.8677529182869</v>
      </c>
      <c r="D26" s="165">
        <v>6364.9611405642008</v>
      </c>
      <c r="E26" s="165">
        <v>6668.0545282101157</v>
      </c>
      <c r="F26" s="165">
        <v>6971.1479158560296</v>
      </c>
      <c r="G26" s="165">
        <v>6061.8677529182869</v>
      </c>
      <c r="H26" s="165">
        <v>6971.1479158560296</v>
      </c>
      <c r="I26" s="165">
        <v>6668.0545282101157</v>
      </c>
      <c r="J26" s="165">
        <v>6364.9611405642008</v>
      </c>
      <c r="K26" s="165">
        <v>6971.1479158560296</v>
      </c>
      <c r="L26" s="165">
        <v>6364.9611405642008</v>
      </c>
      <c r="M26" s="165">
        <v>7777.535978210115</v>
      </c>
      <c r="N26" s="165">
        <f t="shared" ref="N26:N31" si="3">SUM(B26:M26)</f>
        <v>79004.482074999993</v>
      </c>
    </row>
    <row r="27" spans="1:14" x14ac:dyDescent="0.25">
      <c r="A27" s="164" t="s">
        <v>218</v>
      </c>
      <c r="B27" s="165">
        <v>1188.2983412212725</v>
      </c>
      <c r="C27" s="165">
        <v>1250.8403591802869</v>
      </c>
      <c r="D27" s="165">
        <v>1313.3823771393013</v>
      </c>
      <c r="E27" s="165">
        <v>1375.9243950983157</v>
      </c>
      <c r="F27" s="165">
        <v>1438.4664130573299</v>
      </c>
      <c r="G27" s="165">
        <v>1250.8403591802869</v>
      </c>
      <c r="H27" s="165">
        <v>1438.4664130573299</v>
      </c>
      <c r="I27" s="165">
        <v>1375.9243950983157</v>
      </c>
      <c r="J27" s="165">
        <v>1313.3823771393013</v>
      </c>
      <c r="K27" s="165">
        <v>1438.4664130573299</v>
      </c>
      <c r="L27" s="165">
        <v>1313.3823771393013</v>
      </c>
      <c r="M27" s="165">
        <v>1570.0836488483155</v>
      </c>
      <c r="N27" s="165">
        <f t="shared" si="3"/>
        <v>16267.457869216687</v>
      </c>
    </row>
    <row r="28" spans="1:14" x14ac:dyDescent="0.25">
      <c r="A28" s="164" t="s">
        <v>219</v>
      </c>
      <c r="B28" s="165">
        <v>61.020725630281561</v>
      </c>
      <c r="C28" s="165">
        <v>64.23234276871743</v>
      </c>
      <c r="D28" s="165">
        <v>67.4439599071533</v>
      </c>
      <c r="E28" s="165">
        <v>70.655577045589169</v>
      </c>
      <c r="F28" s="165">
        <v>73.867194184025038</v>
      </c>
      <c r="G28" s="165">
        <v>64.23234276871743</v>
      </c>
      <c r="H28" s="165">
        <v>73.867194184025038</v>
      </c>
      <c r="I28" s="165">
        <v>70.655577045589169</v>
      </c>
      <c r="J28" s="165">
        <v>67.4439599071533</v>
      </c>
      <c r="K28" s="165">
        <v>73.867194184025038</v>
      </c>
      <c r="L28" s="165">
        <v>67.4439599071533</v>
      </c>
      <c r="M28" s="165">
        <v>70.655577045589169</v>
      </c>
      <c r="N28" s="165">
        <f t="shared" si="3"/>
        <v>825.38560457801896</v>
      </c>
    </row>
    <row r="29" spans="1:14" x14ac:dyDescent="0.25">
      <c r="A29" s="164" t="s">
        <v>220</v>
      </c>
      <c r="B29" s="165">
        <v>611.04255246756156</v>
      </c>
      <c r="C29" s="165">
        <v>547.88479207111743</v>
      </c>
      <c r="D29" s="165">
        <v>575.27903167467321</v>
      </c>
      <c r="E29" s="165">
        <v>602.67327127822909</v>
      </c>
      <c r="F29" s="165">
        <v>630.06751088178498</v>
      </c>
      <c r="G29" s="165">
        <v>547.88479207111743</v>
      </c>
      <c r="H29" s="165">
        <v>630.06751088178498</v>
      </c>
      <c r="I29" s="165">
        <v>602.67327127822909</v>
      </c>
      <c r="J29" s="165">
        <v>575.27903167467321</v>
      </c>
      <c r="K29" s="165">
        <v>630.06751088178498</v>
      </c>
      <c r="L29" s="165">
        <v>575.27903167467321</v>
      </c>
      <c r="M29" s="165">
        <v>602.67327127822909</v>
      </c>
      <c r="N29" s="165">
        <f t="shared" si="3"/>
        <v>7130.871578113858</v>
      </c>
    </row>
    <row r="30" spans="1:14" x14ac:dyDescent="0.25">
      <c r="A30" s="164" t="s">
        <v>221</v>
      </c>
      <c r="B30" s="165">
        <v>613.93375913180921</v>
      </c>
      <c r="C30" s="165">
        <v>151.54669382295717</v>
      </c>
      <c r="D30" s="165">
        <v>159.12402851410502</v>
      </c>
      <c r="E30" s="165">
        <v>166.70136320525287</v>
      </c>
      <c r="F30" s="165">
        <v>174.27869789640076</v>
      </c>
      <c r="G30" s="165">
        <v>151.54669382295717</v>
      </c>
      <c r="H30" s="165">
        <v>174.27869789640076</v>
      </c>
      <c r="I30" s="165">
        <v>166.70136320525287</v>
      </c>
      <c r="J30" s="165">
        <v>159.12402851410502</v>
      </c>
      <c r="K30" s="165">
        <v>174.27869789640076</v>
      </c>
      <c r="L30" s="165">
        <v>159.12402851410502</v>
      </c>
      <c r="M30" s="165">
        <v>166.70136320525287</v>
      </c>
      <c r="N30" s="165">
        <f t="shared" si="3"/>
        <v>2417.3394156249997</v>
      </c>
    </row>
    <row r="31" spans="1:14" x14ac:dyDescent="0.25">
      <c r="A31" s="164" t="s">
        <v>233</v>
      </c>
      <c r="B31" s="165">
        <v>136.93050000000039</v>
      </c>
      <c r="C31" s="165">
        <v>136.93050000000039</v>
      </c>
      <c r="D31" s="165">
        <v>136.93050000000039</v>
      </c>
      <c r="E31" s="165">
        <v>136.93050000000039</v>
      </c>
      <c r="F31" s="165">
        <v>136.93050000000039</v>
      </c>
      <c r="G31" s="165">
        <v>136.93050000000039</v>
      </c>
      <c r="H31" s="165">
        <v>136.93050000000039</v>
      </c>
      <c r="I31" s="165">
        <v>136.93050000000039</v>
      </c>
      <c r="J31" s="165">
        <v>136.93050000000039</v>
      </c>
      <c r="K31" s="165">
        <v>136.93050000000039</v>
      </c>
      <c r="L31" s="165">
        <v>136.93050000000039</v>
      </c>
      <c r="M31" s="165">
        <v>136.93050000000039</v>
      </c>
      <c r="N31" s="165">
        <f t="shared" si="3"/>
        <v>1643.1660000000047</v>
      </c>
    </row>
    <row r="32" spans="1:14" x14ac:dyDescent="0.25">
      <c r="A32" s="166" t="s">
        <v>222</v>
      </c>
      <c r="B32" s="167">
        <f t="shared" ref="B32:N32" si="4">SUM(B26:B31)</f>
        <v>8370.0002437232979</v>
      </c>
      <c r="C32" s="167">
        <f t="shared" si="4"/>
        <v>8213.3024407613666</v>
      </c>
      <c r="D32" s="167">
        <f t="shared" si="4"/>
        <v>8617.1210377994339</v>
      </c>
      <c r="E32" s="167">
        <f t="shared" si="4"/>
        <v>9020.939634837503</v>
      </c>
      <c r="F32" s="167">
        <f t="shared" si="4"/>
        <v>9424.7582318755722</v>
      </c>
      <c r="G32" s="167">
        <f t="shared" si="4"/>
        <v>8213.3024407613666</v>
      </c>
      <c r="H32" s="167">
        <f t="shared" si="4"/>
        <v>9424.7582318755722</v>
      </c>
      <c r="I32" s="167">
        <f t="shared" si="4"/>
        <v>9020.939634837503</v>
      </c>
      <c r="J32" s="167">
        <f t="shared" si="4"/>
        <v>8617.1210377994339</v>
      </c>
      <c r="K32" s="167">
        <f t="shared" si="4"/>
        <v>9424.7582318755722</v>
      </c>
      <c r="L32" s="167">
        <f t="shared" si="4"/>
        <v>8617.1210377994339</v>
      </c>
      <c r="M32" s="167">
        <f t="shared" si="4"/>
        <v>10324.580338587501</v>
      </c>
      <c r="N32" s="167">
        <f t="shared" si="4"/>
        <v>107288.70254253355</v>
      </c>
    </row>
    <row r="33" spans="1:14" x14ac:dyDescent="0.25">
      <c r="A33" s="168" t="s">
        <v>191</v>
      </c>
      <c r="B33" s="167">
        <f t="shared" ref="B33:N33" si="5">SUM(B24,B32)</f>
        <v>28378.560243723296</v>
      </c>
      <c r="C33" s="167">
        <f t="shared" si="5"/>
        <v>47521.862440761368</v>
      </c>
      <c r="D33" s="167">
        <f t="shared" si="5"/>
        <v>26625.681037799433</v>
      </c>
      <c r="E33" s="167">
        <f t="shared" si="5"/>
        <v>27029.499634837499</v>
      </c>
      <c r="F33" s="167">
        <f t="shared" si="5"/>
        <v>27433.318231875572</v>
      </c>
      <c r="G33" s="167">
        <f t="shared" si="5"/>
        <v>28721.862440761364</v>
      </c>
      <c r="H33" s="167">
        <f t="shared" si="5"/>
        <v>28433.318231875572</v>
      </c>
      <c r="I33" s="167">
        <f t="shared" si="5"/>
        <v>27029.499634837499</v>
      </c>
      <c r="J33" s="167">
        <f t="shared" si="5"/>
        <v>26625.681037799433</v>
      </c>
      <c r="K33" s="167">
        <f t="shared" si="5"/>
        <v>27433.318231875572</v>
      </c>
      <c r="L33" s="167">
        <f t="shared" si="5"/>
        <v>26625.681037799433</v>
      </c>
      <c r="M33" s="167">
        <f t="shared" si="5"/>
        <v>28333.140338587498</v>
      </c>
      <c r="N33" s="167">
        <f t="shared" si="5"/>
        <v>350191.42254253355</v>
      </c>
    </row>
    <row r="34" spans="1:14" x14ac:dyDescent="0.25">
      <c r="A34" s="159" t="s">
        <v>192</v>
      </c>
      <c r="B34" s="160">
        <f t="shared" ref="B34:N34" si="6">B8-B33</f>
        <v>-28378.560243723296</v>
      </c>
      <c r="C34" s="160">
        <f t="shared" si="6"/>
        <v>-47521.862440761368</v>
      </c>
      <c r="D34" s="160">
        <f t="shared" si="6"/>
        <v>-26625.681037799433</v>
      </c>
      <c r="E34" s="160">
        <f t="shared" si="6"/>
        <v>-27029.499634837499</v>
      </c>
      <c r="F34" s="160">
        <f t="shared" si="6"/>
        <v>-27433.318231875572</v>
      </c>
      <c r="G34" s="160">
        <f t="shared" si="6"/>
        <v>-28721.862440761364</v>
      </c>
      <c r="H34" s="160">
        <f t="shared" si="6"/>
        <v>-28433.318231875572</v>
      </c>
      <c r="I34" s="160">
        <f t="shared" si="6"/>
        <v>-27029.499634837499</v>
      </c>
      <c r="J34" s="160">
        <f t="shared" si="6"/>
        <v>-26625.681037799433</v>
      </c>
      <c r="K34" s="160">
        <f t="shared" si="6"/>
        <v>-27433.318231875572</v>
      </c>
      <c r="L34" s="160">
        <f t="shared" si="6"/>
        <v>-26625.681037799433</v>
      </c>
      <c r="M34" s="160">
        <f t="shared" si="6"/>
        <v>-28333.140338587498</v>
      </c>
      <c r="N34" s="160">
        <f t="shared" si="6"/>
        <v>-350191.42254253355</v>
      </c>
    </row>
    <row r="35" spans="1:14" x14ac:dyDescent="0.25">
      <c r="A35" s="161" t="s">
        <v>193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 x14ac:dyDescent="0.25">
      <c r="A36" s="163" t="s">
        <v>234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 x14ac:dyDescent="0.25">
      <c r="A37" s="164" t="s">
        <v>235</v>
      </c>
      <c r="B37" s="165">
        <v>4750</v>
      </c>
      <c r="C37" s="165">
        <v>4750</v>
      </c>
      <c r="D37" s="165">
        <v>4750</v>
      </c>
      <c r="E37" s="165">
        <v>4750</v>
      </c>
      <c r="F37" s="165">
        <v>4750</v>
      </c>
      <c r="G37" s="165">
        <v>4750</v>
      </c>
      <c r="H37" s="165">
        <v>4750</v>
      </c>
      <c r="I37" s="165">
        <v>4750</v>
      </c>
      <c r="J37" s="165">
        <v>4750</v>
      </c>
      <c r="K37" s="165">
        <v>4750</v>
      </c>
      <c r="L37" s="165">
        <v>4750</v>
      </c>
      <c r="M37" s="165">
        <v>4750</v>
      </c>
      <c r="N37" s="165">
        <f>SUM(B37:M37)</f>
        <v>57000</v>
      </c>
    </row>
    <row r="38" spans="1:14" x14ac:dyDescent="0.25">
      <c r="A38" s="166" t="s">
        <v>236</v>
      </c>
      <c r="B38" s="167">
        <f t="shared" ref="B38:N38" si="7">SUM(B37)</f>
        <v>4750</v>
      </c>
      <c r="C38" s="167">
        <f t="shared" si="7"/>
        <v>4750</v>
      </c>
      <c r="D38" s="167">
        <f t="shared" si="7"/>
        <v>4750</v>
      </c>
      <c r="E38" s="167">
        <f t="shared" si="7"/>
        <v>4750</v>
      </c>
      <c r="F38" s="167">
        <f t="shared" si="7"/>
        <v>4750</v>
      </c>
      <c r="G38" s="167">
        <f t="shared" si="7"/>
        <v>4750</v>
      </c>
      <c r="H38" s="167">
        <f t="shared" si="7"/>
        <v>4750</v>
      </c>
      <c r="I38" s="167">
        <f t="shared" si="7"/>
        <v>4750</v>
      </c>
      <c r="J38" s="167">
        <f t="shared" si="7"/>
        <v>4750</v>
      </c>
      <c r="K38" s="167">
        <f t="shared" si="7"/>
        <v>4750</v>
      </c>
      <c r="L38" s="167">
        <f t="shared" si="7"/>
        <v>4750</v>
      </c>
      <c r="M38" s="167">
        <f t="shared" si="7"/>
        <v>4750</v>
      </c>
      <c r="N38" s="167">
        <f t="shared" si="7"/>
        <v>57000</v>
      </c>
    </row>
    <row r="39" spans="1:14" x14ac:dyDescent="0.25">
      <c r="A39" s="163" t="s">
        <v>196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1:14" x14ac:dyDescent="0.25">
      <c r="A40" s="164" t="s">
        <v>223</v>
      </c>
      <c r="B40" s="165">
        <v>2500</v>
      </c>
      <c r="C40" s="165">
        <v>2500</v>
      </c>
      <c r="D40" s="165">
        <v>2500</v>
      </c>
      <c r="E40" s="165">
        <v>2500</v>
      </c>
      <c r="F40" s="165">
        <v>2500</v>
      </c>
      <c r="G40" s="165">
        <v>2500</v>
      </c>
      <c r="H40" s="165">
        <v>2500</v>
      </c>
      <c r="I40" s="165">
        <v>2500</v>
      </c>
      <c r="J40" s="165">
        <v>2500</v>
      </c>
      <c r="K40" s="165">
        <v>2500</v>
      </c>
      <c r="L40" s="165">
        <v>2500</v>
      </c>
      <c r="M40" s="165">
        <v>2500</v>
      </c>
      <c r="N40" s="165">
        <f>SUM(B40:M40)</f>
        <v>30000</v>
      </c>
    </row>
    <row r="41" spans="1:14" x14ac:dyDescent="0.25">
      <c r="A41" s="164" t="s">
        <v>237</v>
      </c>
      <c r="B41" s="165">
        <v>8000</v>
      </c>
      <c r="C41" s="165">
        <v>8000</v>
      </c>
      <c r="D41" s="165">
        <v>8000</v>
      </c>
      <c r="E41" s="165">
        <v>8000</v>
      </c>
      <c r="F41" s="165">
        <v>8000</v>
      </c>
      <c r="G41" s="165">
        <v>8000</v>
      </c>
      <c r="H41" s="165">
        <v>8000</v>
      </c>
      <c r="I41" s="165">
        <v>8000</v>
      </c>
      <c r="J41" s="165">
        <v>8000</v>
      </c>
      <c r="K41" s="165">
        <v>8000</v>
      </c>
      <c r="L41" s="165">
        <v>8000</v>
      </c>
      <c r="M41" s="165">
        <v>8000</v>
      </c>
      <c r="N41" s="165">
        <f>SUM(B41:M41)</f>
        <v>96000</v>
      </c>
    </row>
    <row r="42" spans="1:14" x14ac:dyDescent="0.25">
      <c r="A42" s="166" t="s">
        <v>197</v>
      </c>
      <c r="B42" s="167">
        <f t="shared" ref="B42:K42" si="8">SUM(B40:B41)</f>
        <v>10500</v>
      </c>
      <c r="C42" s="167">
        <f t="shared" si="8"/>
        <v>10500</v>
      </c>
      <c r="D42" s="167">
        <f t="shared" si="8"/>
        <v>10500</v>
      </c>
      <c r="E42" s="167">
        <f t="shared" si="8"/>
        <v>10500</v>
      </c>
      <c r="F42" s="167">
        <f t="shared" si="8"/>
        <v>10500</v>
      </c>
      <c r="G42" s="167">
        <f t="shared" si="8"/>
        <v>10500</v>
      </c>
      <c r="H42" s="167">
        <f t="shared" si="8"/>
        <v>10500</v>
      </c>
      <c r="I42" s="167">
        <f t="shared" si="8"/>
        <v>10500</v>
      </c>
      <c r="J42" s="167">
        <f t="shared" si="8"/>
        <v>10500</v>
      </c>
      <c r="K42" s="167">
        <f t="shared" si="8"/>
        <v>10500</v>
      </c>
      <c r="L42" s="167">
        <f>SUM(L40:L41)</f>
        <v>10500</v>
      </c>
      <c r="M42" s="167">
        <f>SUM(M40:M41)</f>
        <v>10500</v>
      </c>
      <c r="N42" s="167">
        <f>SUM(N40:N41)</f>
        <v>126000</v>
      </c>
    </row>
    <row r="43" spans="1:14" x14ac:dyDescent="0.25">
      <c r="A43" s="163" t="s">
        <v>225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</row>
    <row r="44" spans="1:14" x14ac:dyDescent="0.25">
      <c r="A44" s="164" t="s">
        <v>226</v>
      </c>
      <c r="B44" s="165">
        <v>27341.19</v>
      </c>
      <c r="C44" s="165">
        <v>27341.19</v>
      </c>
      <c r="D44" s="165">
        <v>27341.19</v>
      </c>
      <c r="E44" s="165">
        <v>27341.19</v>
      </c>
      <c r="F44" s="165">
        <v>27341.19</v>
      </c>
      <c r="G44" s="165">
        <v>27341.19</v>
      </c>
      <c r="H44" s="165">
        <v>27341.19</v>
      </c>
      <c r="I44" s="165">
        <v>27341.19</v>
      </c>
      <c r="J44" s="165">
        <v>27341.19</v>
      </c>
      <c r="K44" s="165">
        <v>27341.19</v>
      </c>
      <c r="L44" s="165">
        <v>27341.19</v>
      </c>
      <c r="M44" s="165">
        <v>27341.19</v>
      </c>
      <c r="N44" s="165">
        <f>SUM(B44:M44)</f>
        <v>328094.27999999997</v>
      </c>
    </row>
    <row r="45" spans="1:14" x14ac:dyDescent="0.25">
      <c r="A45" s="164" t="s">
        <v>238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f>SUM(B45:M45)</f>
        <v>0</v>
      </c>
    </row>
    <row r="46" spans="1:14" x14ac:dyDescent="0.25">
      <c r="A46" s="166" t="s">
        <v>227</v>
      </c>
      <c r="B46" s="167">
        <f t="shared" ref="B46:N46" si="9">SUM(B44:B45)</f>
        <v>27341.19</v>
      </c>
      <c r="C46" s="167">
        <f t="shared" si="9"/>
        <v>27341.19</v>
      </c>
      <c r="D46" s="167">
        <f t="shared" si="9"/>
        <v>27341.19</v>
      </c>
      <c r="E46" s="167">
        <f t="shared" si="9"/>
        <v>27341.19</v>
      </c>
      <c r="F46" s="167">
        <f t="shared" si="9"/>
        <v>27341.19</v>
      </c>
      <c r="G46" s="167">
        <f t="shared" si="9"/>
        <v>27341.19</v>
      </c>
      <c r="H46" s="167">
        <f t="shared" si="9"/>
        <v>27341.19</v>
      </c>
      <c r="I46" s="167">
        <f t="shared" si="9"/>
        <v>27341.19</v>
      </c>
      <c r="J46" s="167">
        <f t="shared" si="9"/>
        <v>27341.19</v>
      </c>
      <c r="K46" s="167">
        <f t="shared" si="9"/>
        <v>27341.19</v>
      </c>
      <c r="L46" s="167">
        <f t="shared" si="9"/>
        <v>27341.19</v>
      </c>
      <c r="M46" s="167">
        <f t="shared" si="9"/>
        <v>27341.19</v>
      </c>
      <c r="N46" s="167">
        <f t="shared" si="9"/>
        <v>328094.27999999997</v>
      </c>
    </row>
    <row r="47" spans="1:14" x14ac:dyDescent="0.25">
      <c r="A47" s="168" t="s">
        <v>200</v>
      </c>
      <c r="B47" s="167">
        <f>SUM(B38,B46)+B42</f>
        <v>42591.19</v>
      </c>
      <c r="C47" s="167">
        <f t="shared" ref="C47:N47" si="10">SUM(C38,C46)+C42</f>
        <v>42591.19</v>
      </c>
      <c r="D47" s="167">
        <f t="shared" si="10"/>
        <v>42591.19</v>
      </c>
      <c r="E47" s="167">
        <f t="shared" si="10"/>
        <v>42591.19</v>
      </c>
      <c r="F47" s="167">
        <f t="shared" si="10"/>
        <v>42591.19</v>
      </c>
      <c r="G47" s="167">
        <f t="shared" si="10"/>
        <v>42591.19</v>
      </c>
      <c r="H47" s="167">
        <f t="shared" si="10"/>
        <v>42591.19</v>
      </c>
      <c r="I47" s="167">
        <f t="shared" si="10"/>
        <v>42591.19</v>
      </c>
      <c r="J47" s="167">
        <f t="shared" si="10"/>
        <v>42591.19</v>
      </c>
      <c r="K47" s="167">
        <f t="shared" si="10"/>
        <v>42591.19</v>
      </c>
      <c r="L47" s="167">
        <f t="shared" si="10"/>
        <v>42591.19</v>
      </c>
      <c r="M47" s="167">
        <f t="shared" si="10"/>
        <v>42591.19</v>
      </c>
      <c r="N47" s="167">
        <f t="shared" si="10"/>
        <v>511094.27999999997</v>
      </c>
    </row>
    <row r="48" spans="1:14" x14ac:dyDescent="0.25">
      <c r="A48" s="159" t="s">
        <v>29</v>
      </c>
      <c r="B48" s="160">
        <f t="shared" ref="B48:N48" si="11">B34+B47+0</f>
        <v>14212.629756276707</v>
      </c>
      <c r="C48" s="160">
        <f t="shared" si="11"/>
        <v>-4930.6724407613656</v>
      </c>
      <c r="D48" s="160">
        <f t="shared" si="11"/>
        <v>15965.508962200569</v>
      </c>
      <c r="E48" s="160">
        <f t="shared" si="11"/>
        <v>15561.690365162503</v>
      </c>
      <c r="F48" s="160">
        <f t="shared" si="11"/>
        <v>15157.871768124431</v>
      </c>
      <c r="G48" s="160">
        <f t="shared" si="11"/>
        <v>13869.327559238638</v>
      </c>
      <c r="H48" s="160">
        <f t="shared" si="11"/>
        <v>14157.871768124431</v>
      </c>
      <c r="I48" s="160">
        <f t="shared" si="11"/>
        <v>15561.690365162503</v>
      </c>
      <c r="J48" s="160">
        <f t="shared" si="11"/>
        <v>15965.508962200569</v>
      </c>
      <c r="K48" s="160">
        <f t="shared" si="11"/>
        <v>15157.871768124431</v>
      </c>
      <c r="L48" s="160">
        <f t="shared" si="11"/>
        <v>15965.508962200569</v>
      </c>
      <c r="M48" s="160">
        <f t="shared" si="11"/>
        <v>14258.049661412504</v>
      </c>
      <c r="N48" s="160">
        <f t="shared" si="11"/>
        <v>160902.85745746642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1639-B295-BD4E-9BC3-18E2674DBCDD}">
  <sheetPr codeName="Sheet6">
    <tabColor rgb="FF00B0F0"/>
    <pageSetUpPr fitToPage="1"/>
  </sheetPr>
  <dimension ref="A1:O78"/>
  <sheetViews>
    <sheetView topLeftCell="A55" zoomScaleNormal="100" workbookViewId="0">
      <selection activeCell="L56" sqref="L56"/>
    </sheetView>
  </sheetViews>
  <sheetFormatPr defaultRowHeight="15.75" x14ac:dyDescent="0.25"/>
  <cols>
    <col min="1" max="1" width="47.875" customWidth="1"/>
    <col min="2" max="14" width="8.625" customWidth="1"/>
    <col min="15" max="15" width="28.12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239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f>B6+32</f>
        <v>45324</v>
      </c>
      <c r="D6" s="181">
        <f t="shared" ref="D6:M6" si="0">C6+32</f>
        <v>45356</v>
      </c>
      <c r="E6" s="181">
        <f t="shared" si="0"/>
        <v>45388</v>
      </c>
      <c r="F6" s="181">
        <f t="shared" si="0"/>
        <v>45420</v>
      </c>
      <c r="G6" s="181">
        <f t="shared" si="0"/>
        <v>45452</v>
      </c>
      <c r="H6" s="181">
        <f t="shared" si="0"/>
        <v>45484</v>
      </c>
      <c r="I6" s="181">
        <f t="shared" si="0"/>
        <v>45516</v>
      </c>
      <c r="J6" s="181">
        <f t="shared" si="0"/>
        <v>45548</v>
      </c>
      <c r="K6" s="181">
        <f t="shared" si="0"/>
        <v>45580</v>
      </c>
      <c r="L6" s="181">
        <f t="shared" si="0"/>
        <v>45612</v>
      </c>
      <c r="M6" s="181">
        <f t="shared" si="0"/>
        <v>45644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61" t="s">
        <v>240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163" t="s">
        <v>241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s="365" customFormat="1" x14ac:dyDescent="0.25">
      <c r="A10" s="363" t="s">
        <v>242</v>
      </c>
      <c r="B10" s="364">
        <v>0</v>
      </c>
      <c r="C10" s="364">
        <v>-100</v>
      </c>
      <c r="D10" s="364">
        <v>-1250</v>
      </c>
      <c r="E10" s="364">
        <v>-950</v>
      </c>
      <c r="F10" s="364">
        <v>-1700</v>
      </c>
      <c r="G10" s="364">
        <v>-575</v>
      </c>
      <c r="H10" s="364">
        <v>-475</v>
      </c>
      <c r="I10" s="364">
        <v>-1800</v>
      </c>
      <c r="J10" s="364">
        <v>-1164.5</v>
      </c>
      <c r="K10" s="364">
        <v>-1550</v>
      </c>
      <c r="L10" s="364">
        <v>0</v>
      </c>
      <c r="M10" s="364">
        <v>0</v>
      </c>
      <c r="N10" s="364">
        <f>SUM(B10:M10)</f>
        <v>-9564.5</v>
      </c>
    </row>
    <row r="11" spans="1:14" s="365" customFormat="1" x14ac:dyDescent="0.25">
      <c r="A11" s="363" t="s">
        <v>243</v>
      </c>
      <c r="B11" s="364">
        <v>0</v>
      </c>
      <c r="C11" s="364">
        <v>-1300</v>
      </c>
      <c r="D11" s="364">
        <v>-6750</v>
      </c>
      <c r="E11" s="364">
        <v>-2400</v>
      </c>
      <c r="F11" s="364">
        <v>-5500</v>
      </c>
      <c r="G11" s="364">
        <v>-1800</v>
      </c>
      <c r="H11" s="364">
        <v>-1700</v>
      </c>
      <c r="I11" s="364">
        <v>-4000</v>
      </c>
      <c r="J11" s="364">
        <v>-2350</v>
      </c>
      <c r="K11" s="364">
        <v>-3500</v>
      </c>
      <c r="L11" s="364">
        <v>0</v>
      </c>
      <c r="M11" s="364">
        <v>0</v>
      </c>
      <c r="N11" s="364">
        <f>SUM(B11:M11)</f>
        <v>-29300</v>
      </c>
    </row>
    <row r="12" spans="1:14" x14ac:dyDescent="0.25">
      <c r="A12" s="166" t="s">
        <v>244</v>
      </c>
      <c r="B12" s="167">
        <f t="shared" ref="B12:N12" si="1">SUM(B10:B11)</f>
        <v>0</v>
      </c>
      <c r="C12" s="167">
        <f t="shared" si="1"/>
        <v>-1400</v>
      </c>
      <c r="D12" s="167">
        <f t="shared" si="1"/>
        <v>-8000</v>
      </c>
      <c r="E12" s="167">
        <f t="shared" si="1"/>
        <v>-3350</v>
      </c>
      <c r="F12" s="167">
        <f t="shared" si="1"/>
        <v>-7200</v>
      </c>
      <c r="G12" s="167">
        <f t="shared" si="1"/>
        <v>-2375</v>
      </c>
      <c r="H12" s="167">
        <f t="shared" si="1"/>
        <v>-2175</v>
      </c>
      <c r="I12" s="167">
        <f t="shared" si="1"/>
        <v>-5800</v>
      </c>
      <c r="J12" s="167">
        <f t="shared" si="1"/>
        <v>-3514.5</v>
      </c>
      <c r="K12" s="167">
        <f t="shared" si="1"/>
        <v>-5050</v>
      </c>
      <c r="L12" s="167">
        <f t="shared" si="1"/>
        <v>0</v>
      </c>
      <c r="M12" s="167">
        <f t="shared" si="1"/>
        <v>0</v>
      </c>
      <c r="N12" s="167">
        <f t="shared" si="1"/>
        <v>-38864.5</v>
      </c>
    </row>
    <row r="13" spans="1:14" x14ac:dyDescent="0.25">
      <c r="A13" s="163" t="s">
        <v>245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s="365" customFormat="1" x14ac:dyDescent="0.25">
      <c r="A14" s="363" t="s">
        <v>246</v>
      </c>
      <c r="B14" s="364">
        <v>0</v>
      </c>
      <c r="C14" s="364">
        <v>43000</v>
      </c>
      <c r="D14" s="364">
        <v>165000</v>
      </c>
      <c r="E14" s="364">
        <v>78000</v>
      </c>
      <c r="F14" s="364">
        <v>99000</v>
      </c>
      <c r="G14" s="364">
        <v>38000</v>
      </c>
      <c r="H14" s="364">
        <v>54000</v>
      </c>
      <c r="I14" s="364">
        <v>117000</v>
      </c>
      <c r="J14" s="364">
        <v>73000</v>
      </c>
      <c r="K14" s="364">
        <v>96000</v>
      </c>
      <c r="L14" s="364">
        <v>50000</v>
      </c>
      <c r="M14" s="364">
        <v>10000</v>
      </c>
      <c r="N14" s="364">
        <f>SUM(B14:M14)</f>
        <v>823000</v>
      </c>
    </row>
    <row r="15" spans="1:14" x14ac:dyDescent="0.25">
      <c r="A15" s="166" t="s">
        <v>247</v>
      </c>
      <c r="B15" s="167">
        <f t="shared" ref="B15:N15" si="2">SUM(B14)</f>
        <v>0</v>
      </c>
      <c r="C15" s="167">
        <f t="shared" si="2"/>
        <v>43000</v>
      </c>
      <c r="D15" s="167">
        <f t="shared" si="2"/>
        <v>165000</v>
      </c>
      <c r="E15" s="167">
        <f t="shared" si="2"/>
        <v>78000</v>
      </c>
      <c r="F15" s="167">
        <v>93000</v>
      </c>
      <c r="G15" s="167">
        <f t="shared" si="2"/>
        <v>38000</v>
      </c>
      <c r="H15" s="167">
        <f t="shared" si="2"/>
        <v>54000</v>
      </c>
      <c r="I15" s="167">
        <f t="shared" si="2"/>
        <v>117000</v>
      </c>
      <c r="J15" s="167">
        <f t="shared" si="2"/>
        <v>73000</v>
      </c>
      <c r="K15" s="167">
        <f t="shared" si="2"/>
        <v>96000</v>
      </c>
      <c r="L15" s="167">
        <f t="shared" si="2"/>
        <v>50000</v>
      </c>
      <c r="M15" s="167">
        <f t="shared" si="2"/>
        <v>10000</v>
      </c>
      <c r="N15" s="167">
        <f t="shared" si="2"/>
        <v>823000</v>
      </c>
    </row>
    <row r="16" spans="1:14" x14ac:dyDescent="0.25">
      <c r="A16" s="168" t="s">
        <v>248</v>
      </c>
      <c r="B16" s="167">
        <f t="shared" ref="B16:N16" si="3">SUM(B12,B15)</f>
        <v>0</v>
      </c>
      <c r="C16" s="167">
        <f t="shared" si="3"/>
        <v>41600</v>
      </c>
      <c r="D16" s="167">
        <f t="shared" si="3"/>
        <v>157000</v>
      </c>
      <c r="E16" s="167">
        <f t="shared" si="3"/>
        <v>74650</v>
      </c>
      <c r="F16" s="167">
        <f t="shared" si="3"/>
        <v>85800</v>
      </c>
      <c r="G16" s="167">
        <f t="shared" si="3"/>
        <v>35625</v>
      </c>
      <c r="H16" s="167">
        <f t="shared" si="3"/>
        <v>51825</v>
      </c>
      <c r="I16" s="167">
        <f t="shared" si="3"/>
        <v>111200</v>
      </c>
      <c r="J16" s="167">
        <f t="shared" si="3"/>
        <v>69485.5</v>
      </c>
      <c r="K16" s="167">
        <f t="shared" si="3"/>
        <v>90950</v>
      </c>
      <c r="L16" s="167">
        <f t="shared" si="3"/>
        <v>50000</v>
      </c>
      <c r="M16" s="167">
        <f t="shared" si="3"/>
        <v>10000</v>
      </c>
      <c r="N16" s="167">
        <f t="shared" si="3"/>
        <v>784135.5</v>
      </c>
    </row>
    <row r="17" spans="1:15" x14ac:dyDescent="0.25">
      <c r="A17" s="161" t="s">
        <v>249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5" s="365" customFormat="1" x14ac:dyDescent="0.25">
      <c r="A18" s="366" t="s">
        <v>250</v>
      </c>
      <c r="B18" s="364">
        <v>0</v>
      </c>
      <c r="C18" s="364">
        <f>0.35*C16</f>
        <v>14559.999999999998</v>
      </c>
      <c r="D18" s="364">
        <f t="shared" ref="D18:M18" si="4">0.35*D16</f>
        <v>54950</v>
      </c>
      <c r="E18" s="364">
        <f t="shared" si="4"/>
        <v>26127.5</v>
      </c>
      <c r="F18" s="364">
        <f t="shared" si="4"/>
        <v>30029.999999999996</v>
      </c>
      <c r="G18" s="364">
        <f t="shared" si="4"/>
        <v>12468.75</v>
      </c>
      <c r="H18" s="364">
        <f t="shared" si="4"/>
        <v>18138.75</v>
      </c>
      <c r="I18" s="364">
        <f t="shared" si="4"/>
        <v>38920</v>
      </c>
      <c r="J18" s="364">
        <f t="shared" si="4"/>
        <v>24319.924999999999</v>
      </c>
      <c r="K18" s="364">
        <f t="shared" si="4"/>
        <v>31832.499999999996</v>
      </c>
      <c r="L18" s="364">
        <f t="shared" si="4"/>
        <v>17500</v>
      </c>
      <c r="M18" s="364">
        <f t="shared" si="4"/>
        <v>3500</v>
      </c>
      <c r="N18" s="364">
        <f>SUM(B18:M18)</f>
        <v>272347.42499999999</v>
      </c>
    </row>
    <row r="19" spans="1:15" x14ac:dyDescent="0.25">
      <c r="A19" s="168" t="s">
        <v>251</v>
      </c>
      <c r="B19" s="167">
        <f t="shared" ref="B19:N19" si="5">SUM(B18)</f>
        <v>0</v>
      </c>
      <c r="C19" s="167">
        <f t="shared" si="5"/>
        <v>14559.999999999998</v>
      </c>
      <c r="D19" s="167">
        <f t="shared" si="5"/>
        <v>54950</v>
      </c>
      <c r="E19" s="167">
        <f t="shared" si="5"/>
        <v>26127.5</v>
      </c>
      <c r="F19" s="167">
        <f t="shared" si="5"/>
        <v>30029.999999999996</v>
      </c>
      <c r="G19" s="167">
        <f t="shared" si="5"/>
        <v>12468.75</v>
      </c>
      <c r="H19" s="167">
        <f t="shared" si="5"/>
        <v>18138.75</v>
      </c>
      <c r="I19" s="167">
        <f t="shared" si="5"/>
        <v>38920</v>
      </c>
      <c r="J19" s="167">
        <f t="shared" si="5"/>
        <v>24319.924999999999</v>
      </c>
      <c r="K19" s="167">
        <f t="shared" si="5"/>
        <v>31832.499999999996</v>
      </c>
      <c r="L19" s="167">
        <f t="shared" si="5"/>
        <v>17500</v>
      </c>
      <c r="M19" s="167">
        <f t="shared" si="5"/>
        <v>3500</v>
      </c>
      <c r="N19" s="167">
        <f t="shared" si="5"/>
        <v>272347.42499999999</v>
      </c>
      <c r="O19" s="367">
        <f>N19/N16</f>
        <v>0.34732189143330455</v>
      </c>
    </row>
    <row r="20" spans="1:15" x14ac:dyDescent="0.25">
      <c r="A20" s="159" t="s">
        <v>187</v>
      </c>
      <c r="B20" s="160">
        <f t="shared" ref="B20:N20" si="6">B16-B19</f>
        <v>0</v>
      </c>
      <c r="C20" s="160">
        <f t="shared" si="6"/>
        <v>27040</v>
      </c>
      <c r="D20" s="160">
        <f t="shared" si="6"/>
        <v>102050</v>
      </c>
      <c r="E20" s="160">
        <f t="shared" si="6"/>
        <v>48522.5</v>
      </c>
      <c r="F20" s="160">
        <f t="shared" si="6"/>
        <v>55770</v>
      </c>
      <c r="G20" s="160">
        <f t="shared" si="6"/>
        <v>23156.25</v>
      </c>
      <c r="H20" s="160">
        <f t="shared" si="6"/>
        <v>33686.25</v>
      </c>
      <c r="I20" s="160">
        <f t="shared" si="6"/>
        <v>72280</v>
      </c>
      <c r="J20" s="160">
        <f t="shared" si="6"/>
        <v>45165.574999999997</v>
      </c>
      <c r="K20" s="160">
        <f t="shared" si="6"/>
        <v>59117.5</v>
      </c>
      <c r="L20" s="160">
        <f t="shared" si="6"/>
        <v>32500</v>
      </c>
      <c r="M20" s="160">
        <f t="shared" si="6"/>
        <v>6500</v>
      </c>
      <c r="N20" s="160">
        <f t="shared" si="6"/>
        <v>511788.07500000001</v>
      </c>
    </row>
    <row r="21" spans="1:15" x14ac:dyDescent="0.25">
      <c r="A21" s="161" t="s">
        <v>188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15" x14ac:dyDescent="0.25">
      <c r="A22" s="163" t="s">
        <v>189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5" s="365" customFormat="1" x14ac:dyDescent="0.25">
      <c r="A23" s="363" t="s">
        <v>252</v>
      </c>
      <c r="B23" s="364">
        <v>0</v>
      </c>
      <c r="C23" s="364">
        <v>0</v>
      </c>
      <c r="D23" s="364">
        <v>400</v>
      </c>
      <c r="E23" s="364">
        <v>400</v>
      </c>
      <c r="F23" s="364">
        <v>400</v>
      </c>
      <c r="G23" s="364">
        <v>0</v>
      </c>
      <c r="H23" s="364">
        <v>0</v>
      </c>
      <c r="I23" s="364">
        <v>400</v>
      </c>
      <c r="J23" s="364">
        <v>400</v>
      </c>
      <c r="K23" s="364">
        <v>4900</v>
      </c>
      <c r="L23" s="364">
        <v>0</v>
      </c>
      <c r="M23" s="364">
        <v>0</v>
      </c>
      <c r="N23" s="364">
        <f t="shared" ref="N23:N52" si="7">SUM(B23:M23)</f>
        <v>6900</v>
      </c>
    </row>
    <row r="24" spans="1:15" s="365" customFormat="1" x14ac:dyDescent="0.25">
      <c r="A24" s="363" t="s">
        <v>253</v>
      </c>
      <c r="B24" s="364">
        <v>0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64">
        <v>0</v>
      </c>
      <c r="M24" s="364">
        <v>0</v>
      </c>
      <c r="N24" s="364">
        <f t="shared" si="7"/>
        <v>0</v>
      </c>
    </row>
    <row r="25" spans="1:15" s="365" customFormat="1" x14ac:dyDescent="0.25">
      <c r="A25" s="363" t="s">
        <v>254</v>
      </c>
      <c r="B25" s="364">
        <v>0</v>
      </c>
      <c r="C25" s="364">
        <v>150</v>
      </c>
      <c r="D25" s="364">
        <v>0</v>
      </c>
      <c r="E25" s="364">
        <v>0</v>
      </c>
      <c r="F25" s="364">
        <v>0</v>
      </c>
      <c r="G25" s="364">
        <v>0</v>
      </c>
      <c r="H25" s="364">
        <v>0</v>
      </c>
      <c r="I25" s="364">
        <v>150</v>
      </c>
      <c r="J25" s="364">
        <v>0</v>
      </c>
      <c r="K25" s="364">
        <v>0</v>
      </c>
      <c r="L25" s="364">
        <v>0</v>
      </c>
      <c r="M25" s="364">
        <v>0</v>
      </c>
      <c r="N25" s="364">
        <f t="shared" si="7"/>
        <v>300</v>
      </c>
    </row>
    <row r="26" spans="1:15" s="365" customFormat="1" x14ac:dyDescent="0.25">
      <c r="A26" s="363" t="s">
        <v>25</v>
      </c>
      <c r="B26" s="364">
        <v>500</v>
      </c>
      <c r="C26" s="364">
        <v>1000</v>
      </c>
      <c r="D26" s="364">
        <v>1000</v>
      </c>
      <c r="E26" s="364">
        <v>500</v>
      </c>
      <c r="F26" s="364">
        <v>1000</v>
      </c>
      <c r="G26" s="364">
        <v>800</v>
      </c>
      <c r="H26" s="364">
        <v>200</v>
      </c>
      <c r="I26" s="364">
        <v>1000</v>
      </c>
      <c r="J26" s="364">
        <v>1000</v>
      </c>
      <c r="K26" s="364">
        <v>1000</v>
      </c>
      <c r="L26" s="364">
        <v>500</v>
      </c>
      <c r="M26" s="364">
        <v>0</v>
      </c>
      <c r="N26" s="364">
        <f t="shared" si="7"/>
        <v>8500</v>
      </c>
    </row>
    <row r="27" spans="1:15" s="365" customFormat="1" x14ac:dyDescent="0.25">
      <c r="A27" s="363" t="s">
        <v>24</v>
      </c>
      <c r="B27" s="364">
        <v>300</v>
      </c>
      <c r="C27" s="364">
        <v>1000</v>
      </c>
      <c r="D27" s="364">
        <v>1600</v>
      </c>
      <c r="E27" s="364">
        <v>1000</v>
      </c>
      <c r="F27" s="364">
        <v>1100</v>
      </c>
      <c r="G27" s="364">
        <v>800</v>
      </c>
      <c r="H27" s="364">
        <v>800</v>
      </c>
      <c r="I27" s="364">
        <v>1060</v>
      </c>
      <c r="J27" s="364">
        <v>1000</v>
      </c>
      <c r="K27" s="364">
        <v>1700</v>
      </c>
      <c r="L27" s="364">
        <v>800</v>
      </c>
      <c r="M27" s="364">
        <v>200</v>
      </c>
      <c r="N27" s="364">
        <f t="shared" si="7"/>
        <v>11360</v>
      </c>
    </row>
    <row r="28" spans="1:15" s="365" customFormat="1" x14ac:dyDescent="0.25">
      <c r="A28" s="363" t="s">
        <v>206</v>
      </c>
      <c r="B28" s="364">
        <v>1245</v>
      </c>
      <c r="C28" s="364">
        <v>2500</v>
      </c>
      <c r="D28" s="364">
        <v>2500</v>
      </c>
      <c r="E28" s="364">
        <v>1500</v>
      </c>
      <c r="F28" s="364">
        <v>1600</v>
      </c>
      <c r="G28" s="364">
        <v>3000</v>
      </c>
      <c r="H28" s="364">
        <v>1500</v>
      </c>
      <c r="I28" s="364">
        <v>2000</v>
      </c>
      <c r="J28" s="364">
        <v>2250</v>
      </c>
      <c r="K28" s="364">
        <v>1600</v>
      </c>
      <c r="L28" s="364">
        <v>1600</v>
      </c>
      <c r="M28" s="364">
        <v>2200</v>
      </c>
      <c r="N28" s="364">
        <f t="shared" si="7"/>
        <v>23495</v>
      </c>
    </row>
    <row r="29" spans="1:15" s="365" customFormat="1" x14ac:dyDescent="0.25">
      <c r="A29" s="363" t="s">
        <v>229</v>
      </c>
      <c r="B29" s="364">
        <v>0</v>
      </c>
      <c r="C29" s="364">
        <v>100</v>
      </c>
      <c r="D29" s="364">
        <v>150</v>
      </c>
      <c r="E29" s="364">
        <v>50</v>
      </c>
      <c r="F29" s="364">
        <v>50</v>
      </c>
      <c r="G29" s="364">
        <v>150</v>
      </c>
      <c r="H29" s="364">
        <v>50</v>
      </c>
      <c r="I29" s="364">
        <v>150</v>
      </c>
      <c r="J29" s="364">
        <v>300</v>
      </c>
      <c r="K29" s="364">
        <v>150</v>
      </c>
      <c r="L29" s="364">
        <v>100</v>
      </c>
      <c r="M29" s="364">
        <v>0</v>
      </c>
      <c r="N29" s="364">
        <f t="shared" si="7"/>
        <v>1250</v>
      </c>
    </row>
    <row r="30" spans="1:15" s="365" customFormat="1" x14ac:dyDescent="0.25">
      <c r="A30" s="363" t="s">
        <v>207</v>
      </c>
      <c r="B30" s="364">
        <v>90</v>
      </c>
      <c r="C30" s="364">
        <v>100</v>
      </c>
      <c r="D30" s="364">
        <v>100</v>
      </c>
      <c r="E30" s="364">
        <v>100</v>
      </c>
      <c r="F30" s="364">
        <v>100</v>
      </c>
      <c r="G30" s="364">
        <v>100</v>
      </c>
      <c r="H30" s="364">
        <v>100</v>
      </c>
      <c r="I30" s="364">
        <v>100</v>
      </c>
      <c r="J30" s="364">
        <v>100</v>
      </c>
      <c r="K30" s="364">
        <v>100</v>
      </c>
      <c r="L30" s="364">
        <v>100</v>
      </c>
      <c r="M30" s="364">
        <v>100</v>
      </c>
      <c r="N30" s="364">
        <f t="shared" si="7"/>
        <v>1190</v>
      </c>
    </row>
    <row r="31" spans="1:15" s="365" customFormat="1" x14ac:dyDescent="0.25">
      <c r="A31" s="363" t="s">
        <v>255</v>
      </c>
      <c r="B31" s="364">
        <v>0</v>
      </c>
      <c r="C31" s="364">
        <v>500</v>
      </c>
      <c r="D31" s="364">
        <v>350</v>
      </c>
      <c r="E31" s="364">
        <v>1100</v>
      </c>
      <c r="F31" s="364">
        <v>1400</v>
      </c>
      <c r="G31" s="364">
        <v>400</v>
      </c>
      <c r="H31" s="364">
        <v>400</v>
      </c>
      <c r="I31" s="364">
        <v>1500</v>
      </c>
      <c r="J31" s="364">
        <v>750</v>
      </c>
      <c r="K31" s="364">
        <v>200</v>
      </c>
      <c r="L31" s="364">
        <v>300</v>
      </c>
      <c r="M31" s="364">
        <v>100</v>
      </c>
      <c r="N31" s="364">
        <f t="shared" si="7"/>
        <v>7000</v>
      </c>
    </row>
    <row r="32" spans="1:15" s="365" customFormat="1" x14ac:dyDescent="0.25">
      <c r="A32" s="363" t="s">
        <v>208</v>
      </c>
      <c r="B32" s="364">
        <v>570</v>
      </c>
      <c r="C32" s="364">
        <v>900</v>
      </c>
      <c r="D32" s="364">
        <v>1050</v>
      </c>
      <c r="E32" s="364">
        <v>900</v>
      </c>
      <c r="F32" s="364">
        <v>1050</v>
      </c>
      <c r="G32" s="364">
        <v>950</v>
      </c>
      <c r="H32" s="364">
        <v>1500</v>
      </c>
      <c r="I32" s="364">
        <v>1500</v>
      </c>
      <c r="J32" s="364">
        <v>900</v>
      </c>
      <c r="K32" s="364">
        <v>900</v>
      </c>
      <c r="L32" s="364">
        <v>900</v>
      </c>
      <c r="M32" s="364">
        <v>950</v>
      </c>
      <c r="N32" s="364">
        <f t="shared" si="7"/>
        <v>12070</v>
      </c>
    </row>
    <row r="33" spans="1:14" s="365" customFormat="1" x14ac:dyDescent="0.25">
      <c r="A33" s="363" t="s">
        <v>256</v>
      </c>
      <c r="B33" s="364">
        <v>0</v>
      </c>
      <c r="C33" s="364">
        <v>0</v>
      </c>
      <c r="D33" s="364">
        <v>0</v>
      </c>
      <c r="E33" s="364">
        <v>0</v>
      </c>
      <c r="F33" s="364">
        <v>0</v>
      </c>
      <c r="G33" s="364">
        <v>0</v>
      </c>
      <c r="H33" s="364">
        <v>0</v>
      </c>
      <c r="I33" s="364">
        <v>0</v>
      </c>
      <c r="J33" s="364">
        <v>0</v>
      </c>
      <c r="K33" s="364">
        <v>0</v>
      </c>
      <c r="L33" s="364">
        <v>0</v>
      </c>
      <c r="M33" s="364">
        <v>0</v>
      </c>
      <c r="N33" s="364">
        <f t="shared" si="7"/>
        <v>0</v>
      </c>
    </row>
    <row r="34" spans="1:14" s="365" customFormat="1" x14ac:dyDescent="0.25">
      <c r="A34" s="363" t="s">
        <v>257</v>
      </c>
      <c r="B34" s="364">
        <v>100</v>
      </c>
      <c r="C34" s="364">
        <v>200</v>
      </c>
      <c r="D34" s="364">
        <v>200</v>
      </c>
      <c r="E34" s="364">
        <v>100</v>
      </c>
      <c r="F34" s="364">
        <v>100</v>
      </c>
      <c r="G34" s="364">
        <v>100</v>
      </c>
      <c r="H34" s="364">
        <v>100</v>
      </c>
      <c r="I34" s="364">
        <v>100</v>
      </c>
      <c r="J34" s="364">
        <v>100</v>
      </c>
      <c r="K34" s="364">
        <v>100</v>
      </c>
      <c r="L34" s="364">
        <v>100</v>
      </c>
      <c r="M34" s="364">
        <v>100</v>
      </c>
      <c r="N34" s="364">
        <f t="shared" si="7"/>
        <v>1400</v>
      </c>
    </row>
    <row r="35" spans="1:14" s="365" customFormat="1" x14ac:dyDescent="0.25">
      <c r="A35" s="363" t="s">
        <v>258</v>
      </c>
      <c r="B35" s="364">
        <v>0</v>
      </c>
      <c r="C35" s="364">
        <v>500</v>
      </c>
      <c r="D35" s="364">
        <v>0</v>
      </c>
      <c r="E35" s="364">
        <v>0</v>
      </c>
      <c r="F35" s="364">
        <v>0</v>
      </c>
      <c r="G35" s="364">
        <v>0</v>
      </c>
      <c r="H35" s="364">
        <v>500</v>
      </c>
      <c r="I35" s="364">
        <v>0</v>
      </c>
      <c r="J35" s="364">
        <v>0</v>
      </c>
      <c r="K35" s="364">
        <v>0</v>
      </c>
      <c r="L35" s="364">
        <v>0</v>
      </c>
      <c r="M35" s="364">
        <v>0</v>
      </c>
      <c r="N35" s="364">
        <f t="shared" si="7"/>
        <v>1000</v>
      </c>
    </row>
    <row r="36" spans="1:14" s="365" customFormat="1" x14ac:dyDescent="0.25">
      <c r="A36" s="363" t="s">
        <v>230</v>
      </c>
      <c r="B36" s="364">
        <v>270</v>
      </c>
      <c r="C36" s="364">
        <v>1000</v>
      </c>
      <c r="D36" s="364">
        <v>400</v>
      </c>
      <c r="E36" s="364">
        <v>150</v>
      </c>
      <c r="F36" s="364">
        <v>400</v>
      </c>
      <c r="G36" s="364">
        <v>450</v>
      </c>
      <c r="H36" s="364">
        <v>250</v>
      </c>
      <c r="I36" s="364">
        <v>400</v>
      </c>
      <c r="J36" s="364">
        <v>300</v>
      </c>
      <c r="K36" s="364">
        <v>350</v>
      </c>
      <c r="L36" s="364">
        <v>170</v>
      </c>
      <c r="M36" s="364">
        <v>500</v>
      </c>
      <c r="N36" s="364">
        <f t="shared" si="7"/>
        <v>4640</v>
      </c>
    </row>
    <row r="37" spans="1:14" s="365" customFormat="1" x14ac:dyDescent="0.25">
      <c r="A37" s="363" t="s">
        <v>231</v>
      </c>
      <c r="B37" s="364">
        <v>1245</v>
      </c>
      <c r="C37" s="364">
        <v>2000</v>
      </c>
      <c r="D37" s="364">
        <v>0</v>
      </c>
      <c r="E37" s="364">
        <v>0</v>
      </c>
      <c r="F37" s="364">
        <v>250</v>
      </c>
      <c r="G37" s="364">
        <v>0</v>
      </c>
      <c r="H37" s="364">
        <v>700</v>
      </c>
      <c r="I37" s="364">
        <v>150</v>
      </c>
      <c r="J37" s="364">
        <v>0</v>
      </c>
      <c r="K37" s="364">
        <v>700</v>
      </c>
      <c r="L37" s="364">
        <v>260</v>
      </c>
      <c r="M37" s="364">
        <v>650</v>
      </c>
      <c r="N37" s="364">
        <f t="shared" si="7"/>
        <v>5955</v>
      </c>
    </row>
    <row r="38" spans="1:14" s="365" customFormat="1" x14ac:dyDescent="0.25">
      <c r="A38" s="363" t="s">
        <v>259</v>
      </c>
      <c r="B38" s="364">
        <v>30</v>
      </c>
      <c r="C38" s="364">
        <v>30</v>
      </c>
      <c r="D38" s="364">
        <v>30</v>
      </c>
      <c r="E38" s="364">
        <v>30</v>
      </c>
      <c r="F38" s="364">
        <v>30</v>
      </c>
      <c r="G38" s="364">
        <v>30</v>
      </c>
      <c r="H38" s="364">
        <v>30</v>
      </c>
      <c r="I38" s="364">
        <v>30</v>
      </c>
      <c r="J38" s="364">
        <v>30</v>
      </c>
      <c r="K38" s="364">
        <v>30</v>
      </c>
      <c r="L38" s="364">
        <v>30</v>
      </c>
      <c r="M38" s="364">
        <v>30</v>
      </c>
      <c r="N38" s="364">
        <f t="shared" si="7"/>
        <v>360</v>
      </c>
    </row>
    <row r="39" spans="1:14" s="365" customFormat="1" x14ac:dyDescent="0.25">
      <c r="A39" s="363" t="s">
        <v>260</v>
      </c>
      <c r="B39" s="364">
        <v>200</v>
      </c>
      <c r="C39" s="364">
        <v>200</v>
      </c>
      <c r="D39" s="364">
        <v>200</v>
      </c>
      <c r="E39" s="364">
        <v>200</v>
      </c>
      <c r="F39" s="364">
        <v>200</v>
      </c>
      <c r="G39" s="364">
        <v>200</v>
      </c>
      <c r="H39" s="364">
        <v>200</v>
      </c>
      <c r="I39" s="364">
        <v>200</v>
      </c>
      <c r="J39" s="364">
        <v>200</v>
      </c>
      <c r="K39" s="364">
        <v>200</v>
      </c>
      <c r="L39" s="364">
        <v>200</v>
      </c>
      <c r="M39" s="364">
        <v>200</v>
      </c>
      <c r="N39" s="364">
        <f t="shared" si="7"/>
        <v>2400</v>
      </c>
    </row>
    <row r="40" spans="1:14" s="365" customFormat="1" x14ac:dyDescent="0.25">
      <c r="A40" s="363" t="s">
        <v>261</v>
      </c>
      <c r="B40" s="364">
        <v>0</v>
      </c>
      <c r="C40" s="364">
        <v>0</v>
      </c>
      <c r="D40" s="364">
        <v>0</v>
      </c>
      <c r="E40" s="364">
        <v>0</v>
      </c>
      <c r="F40" s="364">
        <v>0</v>
      </c>
      <c r="G40" s="364">
        <v>0</v>
      </c>
      <c r="H40" s="364">
        <v>0</v>
      </c>
      <c r="I40" s="364">
        <v>0</v>
      </c>
      <c r="J40" s="364">
        <v>0</v>
      </c>
      <c r="K40" s="364">
        <v>0</v>
      </c>
      <c r="L40" s="364">
        <v>0</v>
      </c>
      <c r="M40" s="364">
        <v>0</v>
      </c>
      <c r="N40" s="364">
        <f t="shared" si="7"/>
        <v>0</v>
      </c>
    </row>
    <row r="41" spans="1:14" s="365" customFormat="1" x14ac:dyDescent="0.25">
      <c r="A41" s="363" t="s">
        <v>262</v>
      </c>
      <c r="B41" s="364">
        <v>0</v>
      </c>
      <c r="C41" s="364">
        <v>0</v>
      </c>
      <c r="D41" s="364">
        <v>500</v>
      </c>
      <c r="E41" s="364">
        <v>0</v>
      </c>
      <c r="F41" s="364">
        <v>0</v>
      </c>
      <c r="G41" s="364">
        <v>0</v>
      </c>
      <c r="H41" s="364">
        <v>0</v>
      </c>
      <c r="I41" s="364">
        <v>0</v>
      </c>
      <c r="J41" s="364">
        <v>0</v>
      </c>
      <c r="K41" s="364">
        <v>0</v>
      </c>
      <c r="L41" s="364">
        <v>0</v>
      </c>
      <c r="M41" s="364">
        <v>0</v>
      </c>
      <c r="N41" s="364">
        <f t="shared" si="7"/>
        <v>500</v>
      </c>
    </row>
    <row r="42" spans="1:14" x14ac:dyDescent="0.25">
      <c r="A42" s="164" t="s">
        <v>263</v>
      </c>
      <c r="B42" s="165">
        <v>295</v>
      </c>
      <c r="C42" s="165">
        <v>295</v>
      </c>
      <c r="D42" s="165">
        <v>295</v>
      </c>
      <c r="E42" s="165">
        <v>295</v>
      </c>
      <c r="F42" s="165">
        <v>295</v>
      </c>
      <c r="G42" s="165">
        <v>295</v>
      </c>
      <c r="H42" s="165">
        <v>295</v>
      </c>
      <c r="I42" s="165">
        <v>295</v>
      </c>
      <c r="J42" s="165">
        <v>295</v>
      </c>
      <c r="K42" s="165">
        <v>295</v>
      </c>
      <c r="L42" s="165">
        <v>295</v>
      </c>
      <c r="M42" s="165">
        <v>295</v>
      </c>
      <c r="N42" s="165">
        <f t="shared" si="7"/>
        <v>3540</v>
      </c>
    </row>
    <row r="43" spans="1:14" s="365" customFormat="1" x14ac:dyDescent="0.25">
      <c r="A43" s="363" t="s">
        <v>232</v>
      </c>
      <c r="B43" s="364">
        <v>500</v>
      </c>
      <c r="C43" s="364">
        <v>500</v>
      </c>
      <c r="D43" s="364">
        <v>500</v>
      </c>
      <c r="E43" s="364">
        <v>500</v>
      </c>
      <c r="F43" s="364">
        <v>500</v>
      </c>
      <c r="G43" s="364">
        <v>500</v>
      </c>
      <c r="H43" s="364">
        <v>500</v>
      </c>
      <c r="I43" s="364">
        <v>500</v>
      </c>
      <c r="J43" s="364">
        <v>500</v>
      </c>
      <c r="K43" s="364">
        <v>500</v>
      </c>
      <c r="L43" s="364">
        <v>500</v>
      </c>
      <c r="M43" s="364">
        <v>500</v>
      </c>
      <c r="N43" s="364">
        <f t="shared" si="7"/>
        <v>6000</v>
      </c>
    </row>
    <row r="44" spans="1:14" s="365" customFormat="1" x14ac:dyDescent="0.25">
      <c r="A44" s="363" t="s">
        <v>264</v>
      </c>
      <c r="B44" s="364">
        <v>0</v>
      </c>
      <c r="C44" s="364">
        <v>750</v>
      </c>
      <c r="D44" s="364">
        <v>250</v>
      </c>
      <c r="E44" s="364">
        <v>300</v>
      </c>
      <c r="F44" s="364">
        <v>0</v>
      </c>
      <c r="G44" s="364">
        <v>0</v>
      </c>
      <c r="H44" s="364">
        <v>500</v>
      </c>
      <c r="I44" s="364">
        <v>500</v>
      </c>
      <c r="J44" s="364">
        <v>500</v>
      </c>
      <c r="K44" s="364">
        <v>500</v>
      </c>
      <c r="L44" s="364">
        <v>250</v>
      </c>
      <c r="M44" s="364">
        <v>0</v>
      </c>
      <c r="N44" s="364">
        <f t="shared" si="7"/>
        <v>3550</v>
      </c>
    </row>
    <row r="45" spans="1:14" s="365" customFormat="1" x14ac:dyDescent="0.25">
      <c r="A45" s="363" t="s">
        <v>265</v>
      </c>
      <c r="B45" s="364">
        <v>0</v>
      </c>
      <c r="C45" s="364">
        <v>2500</v>
      </c>
      <c r="D45" s="364">
        <v>9255</v>
      </c>
      <c r="E45" s="364">
        <v>7000</v>
      </c>
      <c r="F45" s="364">
        <v>5500</v>
      </c>
      <c r="G45" s="364">
        <v>4500</v>
      </c>
      <c r="H45" s="364">
        <v>1500</v>
      </c>
      <c r="I45" s="364">
        <v>7500</v>
      </c>
      <c r="J45" s="364">
        <v>7500</v>
      </c>
      <c r="K45" s="364">
        <v>7500</v>
      </c>
      <c r="L45" s="364">
        <v>4500</v>
      </c>
      <c r="M45" s="364">
        <v>2000</v>
      </c>
      <c r="N45" s="364">
        <f t="shared" si="7"/>
        <v>59255</v>
      </c>
    </row>
    <row r="46" spans="1:14" s="365" customFormat="1" x14ac:dyDescent="0.25">
      <c r="A46" s="363" t="s">
        <v>266</v>
      </c>
      <c r="B46" s="364">
        <v>145</v>
      </c>
      <c r="C46" s="364">
        <v>0</v>
      </c>
      <c r="D46" s="364">
        <v>0</v>
      </c>
      <c r="E46" s="364">
        <v>145</v>
      </c>
      <c r="F46" s="364">
        <v>0</v>
      </c>
      <c r="G46" s="364">
        <v>0</v>
      </c>
      <c r="H46" s="364">
        <v>145</v>
      </c>
      <c r="I46" s="364">
        <v>0</v>
      </c>
      <c r="J46" s="364">
        <v>0</v>
      </c>
      <c r="K46" s="364">
        <v>145</v>
      </c>
      <c r="L46" s="364">
        <v>0</v>
      </c>
      <c r="M46" s="364">
        <v>0</v>
      </c>
      <c r="N46" s="364">
        <f t="shared" si="7"/>
        <v>580</v>
      </c>
    </row>
    <row r="47" spans="1:14" s="365" customFormat="1" x14ac:dyDescent="0.25">
      <c r="A47" s="363" t="s">
        <v>267</v>
      </c>
      <c r="B47" s="364">
        <v>1042</v>
      </c>
      <c r="C47" s="364">
        <v>3000</v>
      </c>
      <c r="D47" s="364">
        <v>1042</v>
      </c>
      <c r="E47" s="364">
        <v>1042</v>
      </c>
      <c r="F47" s="364">
        <v>1042</v>
      </c>
      <c r="G47" s="364">
        <v>1042</v>
      </c>
      <c r="H47" s="364">
        <v>1042</v>
      </c>
      <c r="I47" s="364">
        <v>1042</v>
      </c>
      <c r="J47" s="364">
        <v>1042</v>
      </c>
      <c r="K47" s="364">
        <v>1317</v>
      </c>
      <c r="L47" s="364">
        <v>1042</v>
      </c>
      <c r="M47" s="364">
        <v>1042</v>
      </c>
      <c r="N47" s="364">
        <f t="shared" si="7"/>
        <v>14737</v>
      </c>
    </row>
    <row r="48" spans="1:14" s="365" customFormat="1" x14ac:dyDescent="0.25">
      <c r="A48" s="363" t="s">
        <v>212</v>
      </c>
      <c r="B48" s="364">
        <v>575</v>
      </c>
      <c r="C48" s="364">
        <v>700</v>
      </c>
      <c r="D48" s="364">
        <v>775</v>
      </c>
      <c r="E48" s="364">
        <v>625</v>
      </c>
      <c r="F48" s="364">
        <v>805</v>
      </c>
      <c r="G48" s="364">
        <v>735</v>
      </c>
      <c r="H48" s="364">
        <v>750</v>
      </c>
      <c r="I48" s="364">
        <v>825</v>
      </c>
      <c r="J48" s="364">
        <v>750</v>
      </c>
      <c r="K48" s="364">
        <v>790</v>
      </c>
      <c r="L48" s="364">
        <v>500</v>
      </c>
      <c r="M48" s="364">
        <v>250</v>
      </c>
      <c r="N48" s="364">
        <f t="shared" si="7"/>
        <v>8080</v>
      </c>
    </row>
    <row r="49" spans="1:15" x14ac:dyDescent="0.25">
      <c r="A49" s="164" t="s">
        <v>213</v>
      </c>
      <c r="B49" s="165">
        <v>798.42</v>
      </c>
      <c r="C49" s="165">
        <v>808.85</v>
      </c>
      <c r="D49" s="165">
        <v>808.85</v>
      </c>
      <c r="E49" s="165">
        <v>808.85</v>
      </c>
      <c r="F49" s="165">
        <v>808.85</v>
      </c>
      <c r="G49" s="165">
        <v>808.85</v>
      </c>
      <c r="H49" s="165">
        <v>808.85</v>
      </c>
      <c r="I49" s="165">
        <v>808.85</v>
      </c>
      <c r="J49" s="165">
        <v>808.85</v>
      </c>
      <c r="K49" s="165">
        <v>808.85</v>
      </c>
      <c r="L49" s="165">
        <v>808.85</v>
      </c>
      <c r="M49" s="165">
        <v>808.85</v>
      </c>
      <c r="N49" s="165">
        <f t="shared" si="7"/>
        <v>9695.7700000000023</v>
      </c>
    </row>
    <row r="50" spans="1:15" x14ac:dyDescent="0.25">
      <c r="A50" s="164" t="s">
        <v>214</v>
      </c>
      <c r="B50" s="165">
        <v>860</v>
      </c>
      <c r="C50" s="165">
        <v>860</v>
      </c>
      <c r="D50" s="165">
        <v>860</v>
      </c>
      <c r="E50" s="165">
        <v>860</v>
      </c>
      <c r="F50" s="165">
        <v>860</v>
      </c>
      <c r="G50" s="165">
        <v>860</v>
      </c>
      <c r="H50" s="165">
        <v>860</v>
      </c>
      <c r="I50" s="165">
        <v>860</v>
      </c>
      <c r="J50" s="165">
        <v>860</v>
      </c>
      <c r="K50" s="165">
        <v>860</v>
      </c>
      <c r="L50" s="165">
        <v>860</v>
      </c>
      <c r="M50" s="165">
        <v>860</v>
      </c>
      <c r="N50" s="165">
        <f t="shared" si="7"/>
        <v>10320</v>
      </c>
    </row>
    <row r="51" spans="1:15" x14ac:dyDescent="0.25">
      <c r="A51" s="164" t="s">
        <v>268</v>
      </c>
      <c r="B51" s="165">
        <v>19</v>
      </c>
      <c r="C51" s="165">
        <v>19</v>
      </c>
      <c r="D51" s="165">
        <v>19</v>
      </c>
      <c r="E51" s="165">
        <v>19</v>
      </c>
      <c r="F51" s="165">
        <v>19</v>
      </c>
      <c r="G51" s="165">
        <v>19</v>
      </c>
      <c r="H51" s="165">
        <v>19</v>
      </c>
      <c r="I51" s="165">
        <v>19</v>
      </c>
      <c r="J51" s="165">
        <v>19</v>
      </c>
      <c r="K51" s="165">
        <v>19</v>
      </c>
      <c r="L51" s="165">
        <v>19</v>
      </c>
      <c r="M51" s="165">
        <v>19</v>
      </c>
      <c r="N51" s="165">
        <f t="shared" si="7"/>
        <v>228</v>
      </c>
    </row>
    <row r="52" spans="1:15" x14ac:dyDescent="0.25">
      <c r="A52" s="164" t="s">
        <v>215</v>
      </c>
      <c r="B52" s="165">
        <v>1100.73</v>
      </c>
      <c r="C52" s="165">
        <v>1100.73</v>
      </c>
      <c r="D52" s="165">
        <v>1100.73</v>
      </c>
      <c r="E52" s="165">
        <v>1100.73</v>
      </c>
      <c r="F52" s="165">
        <v>1100.73</v>
      </c>
      <c r="G52" s="165">
        <v>1100.73</v>
      </c>
      <c r="H52" s="165">
        <v>1100.73</v>
      </c>
      <c r="I52" s="165">
        <v>1100.73</v>
      </c>
      <c r="J52" s="165">
        <v>1100.73</v>
      </c>
      <c r="K52" s="165">
        <v>1100.73</v>
      </c>
      <c r="L52" s="165">
        <v>1100.73</v>
      </c>
      <c r="M52" s="165">
        <v>1100.73</v>
      </c>
      <c r="N52" s="165">
        <f t="shared" si="7"/>
        <v>13208.759999999997</v>
      </c>
    </row>
    <row r="53" spans="1:15" x14ac:dyDescent="0.25">
      <c r="A53" s="166" t="s">
        <v>190</v>
      </c>
      <c r="B53" s="167">
        <f t="shared" ref="B53:N53" si="8">SUM(B23:B52)</f>
        <v>9885.15</v>
      </c>
      <c r="C53" s="167">
        <f t="shared" si="8"/>
        <v>20713.579999999998</v>
      </c>
      <c r="D53" s="167">
        <f t="shared" si="8"/>
        <v>23385.579999999998</v>
      </c>
      <c r="E53" s="167">
        <f t="shared" si="8"/>
        <v>18725.579999999998</v>
      </c>
      <c r="F53" s="167">
        <f t="shared" si="8"/>
        <v>18610.579999999998</v>
      </c>
      <c r="G53" s="167">
        <f t="shared" si="8"/>
        <v>16840.580000000002</v>
      </c>
      <c r="H53" s="167">
        <f t="shared" si="8"/>
        <v>13850.58</v>
      </c>
      <c r="I53" s="167">
        <f t="shared" si="8"/>
        <v>22190.579999999998</v>
      </c>
      <c r="J53" s="167">
        <f t="shared" si="8"/>
        <v>20705.579999999998</v>
      </c>
      <c r="K53" s="167">
        <f t="shared" si="8"/>
        <v>25765.579999999998</v>
      </c>
      <c r="L53" s="167">
        <f t="shared" si="8"/>
        <v>14935.58</v>
      </c>
      <c r="M53" s="167">
        <f t="shared" si="8"/>
        <v>11905.58</v>
      </c>
      <c r="N53" s="167">
        <f t="shared" si="8"/>
        <v>217514.53</v>
      </c>
    </row>
    <row r="54" spans="1:15" x14ac:dyDescent="0.25">
      <c r="A54" s="163" t="s">
        <v>216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</row>
    <row r="55" spans="1:15" s="365" customFormat="1" x14ac:dyDescent="0.25">
      <c r="A55" s="363" t="s">
        <v>217</v>
      </c>
      <c r="B55" s="364">
        <v>8694.4158949416342</v>
      </c>
      <c r="C55" s="364">
        <v>9152.0167315175113</v>
      </c>
      <c r="D55" s="364">
        <v>9609.6175680933866</v>
      </c>
      <c r="E55" s="364">
        <v>10067.218404669262</v>
      </c>
      <c r="F55" s="364">
        <v>10524.819241245137</v>
      </c>
      <c r="G55" s="364">
        <v>9152.0167315175113</v>
      </c>
      <c r="H55" s="364">
        <v>10524.819241245137</v>
      </c>
      <c r="I55" s="364">
        <v>10067.218404669262</v>
      </c>
      <c r="J55" s="364">
        <v>9609.6175680933866</v>
      </c>
      <c r="K55" s="364">
        <v>10524.819241245137</v>
      </c>
      <c r="L55" s="364">
        <v>9609.6175680933866</v>
      </c>
      <c r="M55" s="364">
        <v>12484.947204669261</v>
      </c>
      <c r="N55" s="364">
        <f t="shared" ref="N55:N60" si="9">SUM(B55:M55)</f>
        <v>120021.14379999999</v>
      </c>
    </row>
    <row r="56" spans="1:15" s="365" customFormat="1" x14ac:dyDescent="0.25">
      <c r="A56" s="363" t="s">
        <v>269</v>
      </c>
      <c r="B56" s="364">
        <v>0</v>
      </c>
      <c r="C56" s="364">
        <v>2000</v>
      </c>
      <c r="D56" s="364">
        <v>30000</v>
      </c>
      <c r="E56" s="364">
        <v>11000</v>
      </c>
      <c r="F56" s="364">
        <v>15000</v>
      </c>
      <c r="G56" s="364">
        <v>2500</v>
      </c>
      <c r="H56" s="364">
        <v>6000</v>
      </c>
      <c r="I56" s="364">
        <v>19500</v>
      </c>
      <c r="J56" s="364">
        <v>8500</v>
      </c>
      <c r="K56" s="364">
        <v>15000</v>
      </c>
      <c r="L56" s="364">
        <v>6000</v>
      </c>
      <c r="M56" s="364">
        <v>900</v>
      </c>
      <c r="N56" s="364">
        <f t="shared" si="9"/>
        <v>116400</v>
      </c>
      <c r="O56" s="368"/>
    </row>
    <row r="57" spans="1:15" x14ac:dyDescent="0.25">
      <c r="A57" s="164" t="s">
        <v>218</v>
      </c>
      <c r="B57" s="165">
        <v>1366.7679358678067</v>
      </c>
      <c r="C57" s="165">
        <v>1674.4530903871648</v>
      </c>
      <c r="D57" s="165">
        <v>5046.8882449065231</v>
      </c>
      <c r="E57" s="165">
        <v>2879.1983994258817</v>
      </c>
      <c r="F57" s="165">
        <v>3422.6335539452393</v>
      </c>
      <c r="G57" s="165">
        <v>1733.3905903871648</v>
      </c>
      <c r="H57" s="165">
        <v>2361.7585539452393</v>
      </c>
      <c r="I57" s="165">
        <v>3881.1358994258817</v>
      </c>
      <c r="J57" s="165">
        <v>2512.5757449065231</v>
      </c>
      <c r="K57" s="165">
        <v>3422.6335539452393</v>
      </c>
      <c r="L57" s="165">
        <v>2217.8882449065231</v>
      </c>
      <c r="M57" s="165">
        <v>2111.7634394258816</v>
      </c>
      <c r="N57" s="165">
        <f t="shared" si="9"/>
        <v>32631.087251475074</v>
      </c>
      <c r="O57" s="165"/>
    </row>
    <row r="58" spans="1:15" x14ac:dyDescent="0.25">
      <c r="A58" s="164" t="s">
        <v>219</v>
      </c>
      <c r="B58" s="165">
        <v>92.127166856918436</v>
      </c>
      <c r="C58" s="165">
        <v>116.45096511254572</v>
      </c>
      <c r="D58" s="165">
        <v>393.94976336817302</v>
      </c>
      <c r="E58" s="165">
        <v>213.78606162380029</v>
      </c>
      <c r="F58" s="165">
        <v>257.5848598794276</v>
      </c>
      <c r="G58" s="165">
        <v>121.31971511254572</v>
      </c>
      <c r="H58" s="165">
        <v>169.94735987942758</v>
      </c>
      <c r="I58" s="165">
        <v>296.55481162380028</v>
      </c>
      <c r="J58" s="165">
        <v>184.59351336817301</v>
      </c>
      <c r="K58" s="165">
        <v>257.5848598794276</v>
      </c>
      <c r="L58" s="165">
        <v>160.24976336817301</v>
      </c>
      <c r="M58" s="165">
        <v>115.4373116238003</v>
      </c>
      <c r="N58" s="165">
        <f t="shared" si="9"/>
        <v>2379.5861516962123</v>
      </c>
      <c r="O58" s="165"/>
    </row>
    <row r="59" spans="1:15" x14ac:dyDescent="0.25">
      <c r="A59" s="164" t="s">
        <v>220</v>
      </c>
      <c r="B59" s="165">
        <v>1193.2703189393965</v>
      </c>
      <c r="C59" s="165">
        <v>827.17917783094367</v>
      </c>
      <c r="D59" s="165">
        <v>868.53813672249089</v>
      </c>
      <c r="E59" s="165">
        <v>909.89709561403799</v>
      </c>
      <c r="F59" s="165">
        <v>951.25605450558521</v>
      </c>
      <c r="G59" s="165">
        <v>827.17917783094367</v>
      </c>
      <c r="H59" s="165">
        <v>951.25605450558521</v>
      </c>
      <c r="I59" s="165">
        <v>909.89709561403799</v>
      </c>
      <c r="J59" s="165">
        <v>868.53813672249089</v>
      </c>
      <c r="K59" s="165">
        <v>951.25605450558521</v>
      </c>
      <c r="L59" s="165">
        <v>868.53813672249089</v>
      </c>
      <c r="M59" s="165">
        <v>909.89709561403799</v>
      </c>
      <c r="N59" s="165">
        <f t="shared" si="9"/>
        <v>11036.702535127626</v>
      </c>
    </row>
    <row r="60" spans="1:15" x14ac:dyDescent="0.25">
      <c r="A60" s="164" t="s">
        <v>221</v>
      </c>
      <c r="B60" s="165">
        <v>587.36539737354087</v>
      </c>
      <c r="C60" s="165">
        <v>278.80041828793776</v>
      </c>
      <c r="D60" s="165">
        <v>990.24043920233464</v>
      </c>
      <c r="E60" s="165">
        <v>526.68046011673152</v>
      </c>
      <c r="F60" s="165">
        <v>638.12048103112841</v>
      </c>
      <c r="G60" s="165">
        <v>291.30041828793776</v>
      </c>
      <c r="H60" s="165">
        <v>413.12048103112841</v>
      </c>
      <c r="I60" s="165">
        <v>739.18046011673152</v>
      </c>
      <c r="J60" s="165">
        <v>452.74043920233464</v>
      </c>
      <c r="K60" s="165">
        <v>638.12048103112841</v>
      </c>
      <c r="L60" s="165">
        <v>390.24043920233464</v>
      </c>
      <c r="M60" s="165">
        <v>274.18046011673152</v>
      </c>
      <c r="N60" s="165">
        <f t="shared" si="9"/>
        <v>6220.0903749999998</v>
      </c>
    </row>
    <row r="61" spans="1:15" x14ac:dyDescent="0.25">
      <c r="A61" s="166" t="s">
        <v>222</v>
      </c>
      <c r="B61" s="167">
        <f t="shared" ref="B61:N61" si="10">SUM(B55:B60)</f>
        <v>11933.946713979298</v>
      </c>
      <c r="C61" s="167">
        <f t="shared" si="10"/>
        <v>14048.900383136104</v>
      </c>
      <c r="D61" s="167">
        <f t="shared" si="10"/>
        <v>46909.234152292913</v>
      </c>
      <c r="E61" s="167">
        <f t="shared" si="10"/>
        <v>25596.780421449712</v>
      </c>
      <c r="F61" s="167">
        <f t="shared" si="10"/>
        <v>30794.414190606523</v>
      </c>
      <c r="G61" s="167">
        <f t="shared" si="10"/>
        <v>14625.206633136104</v>
      </c>
      <c r="H61" s="167">
        <f t="shared" si="10"/>
        <v>20420.901690606523</v>
      </c>
      <c r="I61" s="167">
        <f t="shared" si="10"/>
        <v>35393.986671449718</v>
      </c>
      <c r="J61" s="167">
        <f t="shared" si="10"/>
        <v>22128.065402292912</v>
      </c>
      <c r="K61" s="167">
        <f t="shared" si="10"/>
        <v>30794.414190606523</v>
      </c>
      <c r="L61" s="167">
        <f t="shared" si="10"/>
        <v>19246.534152292908</v>
      </c>
      <c r="M61" s="167">
        <f t="shared" si="10"/>
        <v>16796.225511449713</v>
      </c>
      <c r="N61" s="167">
        <f t="shared" si="10"/>
        <v>288688.61011329887</v>
      </c>
      <c r="O61" s="367">
        <f>N61/N16</f>
        <v>0.36816163802467672</v>
      </c>
    </row>
    <row r="62" spans="1:15" x14ac:dyDescent="0.25">
      <c r="A62" s="168" t="s">
        <v>191</v>
      </c>
      <c r="B62" s="167">
        <f t="shared" ref="B62:N62" si="11">SUM(B53,B61)</f>
        <v>21819.096713979299</v>
      </c>
      <c r="C62" s="167">
        <f t="shared" si="11"/>
        <v>34762.480383136106</v>
      </c>
      <c r="D62" s="167">
        <f t="shared" si="11"/>
        <v>70294.814152292907</v>
      </c>
      <c r="E62" s="167">
        <f t="shared" si="11"/>
        <v>44322.36042144971</v>
      </c>
      <c r="F62" s="167">
        <f t="shared" si="11"/>
        <v>49404.994190606521</v>
      </c>
      <c r="G62" s="167">
        <f t="shared" si="11"/>
        <v>31465.786633136107</v>
      </c>
      <c r="H62" s="167">
        <f t="shared" si="11"/>
        <v>34271.481690606524</v>
      </c>
      <c r="I62" s="167">
        <f t="shared" si="11"/>
        <v>57584.56667144972</v>
      </c>
      <c r="J62" s="167">
        <f t="shared" si="11"/>
        <v>42833.64540229291</v>
      </c>
      <c r="K62" s="167">
        <f t="shared" si="11"/>
        <v>56559.994190606521</v>
      </c>
      <c r="L62" s="167">
        <f t="shared" si="11"/>
        <v>34182.11415229291</v>
      </c>
      <c r="M62" s="167">
        <f t="shared" si="11"/>
        <v>28701.805511449711</v>
      </c>
      <c r="N62" s="167">
        <f t="shared" si="11"/>
        <v>506203.1401132989</v>
      </c>
    </row>
    <row r="63" spans="1:15" x14ac:dyDescent="0.25">
      <c r="A63" s="159" t="s">
        <v>192</v>
      </c>
      <c r="B63" s="160">
        <f t="shared" ref="B63:N63" si="12">B20-B62</f>
        <v>-21819.096713979299</v>
      </c>
      <c r="C63" s="160">
        <f t="shared" si="12"/>
        <v>-7722.480383136106</v>
      </c>
      <c r="D63" s="160">
        <f t="shared" si="12"/>
        <v>31755.185847707093</v>
      </c>
      <c r="E63" s="160">
        <f t="shared" si="12"/>
        <v>4200.13957855029</v>
      </c>
      <c r="F63" s="160">
        <f t="shared" si="12"/>
        <v>6365.0058093934786</v>
      </c>
      <c r="G63" s="160">
        <f t="shared" si="12"/>
        <v>-8309.5366331361074</v>
      </c>
      <c r="H63" s="160">
        <f t="shared" si="12"/>
        <v>-585.23169060652435</v>
      </c>
      <c r="I63" s="160">
        <f t="shared" si="12"/>
        <v>14695.43332855028</v>
      </c>
      <c r="J63" s="160">
        <f t="shared" si="12"/>
        <v>2331.9295977070869</v>
      </c>
      <c r="K63" s="160">
        <f t="shared" si="12"/>
        <v>2557.5058093934786</v>
      </c>
      <c r="L63" s="160">
        <f t="shared" si="12"/>
        <v>-1682.1141522929101</v>
      </c>
      <c r="M63" s="160">
        <f t="shared" si="12"/>
        <v>-22201.805511449711</v>
      </c>
      <c r="N63" s="160">
        <f t="shared" si="12"/>
        <v>5584.934886701114</v>
      </c>
    </row>
    <row r="64" spans="1:15" x14ac:dyDescent="0.25">
      <c r="A64" s="161" t="s">
        <v>193</v>
      </c>
      <c r="B64" s="369"/>
      <c r="C64" s="369">
        <f>C61/C16</f>
        <v>0.33771395151769479</v>
      </c>
      <c r="D64" s="369">
        <f t="shared" ref="D64:N64" si="13">D61/D16</f>
        <v>0.2987849309063243</v>
      </c>
      <c r="E64" s="369">
        <f t="shared" si="13"/>
        <v>0.34289056157333841</v>
      </c>
      <c r="F64" s="369">
        <f t="shared" si="13"/>
        <v>0.3589092563007753</v>
      </c>
      <c r="G64" s="369">
        <f t="shared" si="13"/>
        <v>0.41053211601785555</v>
      </c>
      <c r="H64" s="369">
        <f t="shared" si="13"/>
        <v>0.39403572967885236</v>
      </c>
      <c r="I64" s="369">
        <f t="shared" si="13"/>
        <v>0.31829124704541112</v>
      </c>
      <c r="J64" s="369">
        <f t="shared" si="13"/>
        <v>0.31845587068227055</v>
      </c>
      <c r="K64" s="369">
        <f t="shared" si="13"/>
        <v>0.33858619231013221</v>
      </c>
      <c r="L64" s="369">
        <f t="shared" si="13"/>
        <v>0.38493068304585815</v>
      </c>
      <c r="M64" s="369">
        <f t="shared" si="13"/>
        <v>1.6796225511449714</v>
      </c>
      <c r="N64" s="369">
        <f t="shared" si="13"/>
        <v>0.36816163802467672</v>
      </c>
    </row>
    <row r="65" spans="1:14" x14ac:dyDescent="0.25">
      <c r="A65" s="163" t="s">
        <v>196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</row>
    <row r="66" spans="1:14" s="365" customFormat="1" x14ac:dyDescent="0.25">
      <c r="A66" s="363" t="s">
        <v>270</v>
      </c>
      <c r="B66" s="364">
        <v>0</v>
      </c>
      <c r="C66" s="364">
        <v>0</v>
      </c>
      <c r="D66" s="364">
        <v>0</v>
      </c>
      <c r="E66" s="364">
        <v>0</v>
      </c>
      <c r="F66" s="364">
        <v>0</v>
      </c>
      <c r="G66" s="364">
        <v>0</v>
      </c>
      <c r="H66" s="364">
        <v>0</v>
      </c>
      <c r="I66" s="364">
        <v>0</v>
      </c>
      <c r="J66" s="364">
        <v>0</v>
      </c>
      <c r="K66" s="364">
        <v>0</v>
      </c>
      <c r="L66" s="364">
        <v>0</v>
      </c>
      <c r="M66" s="364">
        <v>0</v>
      </c>
      <c r="N66" s="364">
        <f>SUM(B66:M66)</f>
        <v>0</v>
      </c>
    </row>
    <row r="67" spans="1:14" s="365" customFormat="1" x14ac:dyDescent="0.25">
      <c r="A67" s="363" t="s">
        <v>224</v>
      </c>
      <c r="B67" s="364">
        <v>0</v>
      </c>
      <c r="C67" s="364">
        <v>0</v>
      </c>
      <c r="D67" s="364">
        <v>500</v>
      </c>
      <c r="E67" s="364">
        <v>500</v>
      </c>
      <c r="F67" s="364">
        <v>1000</v>
      </c>
      <c r="G67" s="364">
        <v>0</v>
      </c>
      <c r="H67" s="364">
        <v>0</v>
      </c>
      <c r="I67" s="364">
        <v>1000</v>
      </c>
      <c r="J67" s="364">
        <v>500</v>
      </c>
      <c r="K67" s="364">
        <v>0</v>
      </c>
      <c r="L67" s="364">
        <v>0</v>
      </c>
      <c r="M67" s="364">
        <v>0</v>
      </c>
      <c r="N67" s="364">
        <f>SUM(B67:M67)</f>
        <v>3500</v>
      </c>
    </row>
    <row r="68" spans="1:14" s="365" customFormat="1" x14ac:dyDescent="0.25">
      <c r="A68" s="363" t="s">
        <v>271</v>
      </c>
      <c r="B68" s="364">
        <v>0</v>
      </c>
      <c r="C68" s="364">
        <v>1000</v>
      </c>
      <c r="D68" s="364">
        <v>1500</v>
      </c>
      <c r="E68" s="364">
        <v>1000</v>
      </c>
      <c r="F68" s="364">
        <v>1500</v>
      </c>
      <c r="G68" s="364">
        <v>0</v>
      </c>
      <c r="H68" s="364">
        <v>0</v>
      </c>
      <c r="I68" s="364">
        <v>1500</v>
      </c>
      <c r="J68" s="364">
        <v>1500</v>
      </c>
      <c r="K68" s="364">
        <v>1500</v>
      </c>
      <c r="L68" s="364">
        <v>0</v>
      </c>
      <c r="M68" s="364">
        <v>0</v>
      </c>
      <c r="N68" s="364">
        <f>SUM(B68:M68)</f>
        <v>9500</v>
      </c>
    </row>
    <row r="69" spans="1:14" x14ac:dyDescent="0.25">
      <c r="A69" s="166" t="s">
        <v>197</v>
      </c>
      <c r="B69" s="167">
        <f t="shared" ref="B69:N69" si="14">SUM(B66:B68)</f>
        <v>0</v>
      </c>
      <c r="C69" s="167">
        <f t="shared" si="14"/>
        <v>1000</v>
      </c>
      <c r="D69" s="167">
        <f t="shared" si="14"/>
        <v>2000</v>
      </c>
      <c r="E69" s="167">
        <f t="shared" si="14"/>
        <v>1500</v>
      </c>
      <c r="F69" s="167">
        <f t="shared" si="14"/>
        <v>2500</v>
      </c>
      <c r="G69" s="167">
        <f t="shared" si="14"/>
        <v>0</v>
      </c>
      <c r="H69" s="167">
        <f t="shared" si="14"/>
        <v>0</v>
      </c>
      <c r="I69" s="167">
        <f t="shared" si="14"/>
        <v>2500</v>
      </c>
      <c r="J69" s="167">
        <f t="shared" si="14"/>
        <v>2000</v>
      </c>
      <c r="K69" s="167">
        <f t="shared" si="14"/>
        <v>1500</v>
      </c>
      <c r="L69" s="167">
        <f t="shared" si="14"/>
        <v>0</v>
      </c>
      <c r="M69" s="167">
        <f t="shared" si="14"/>
        <v>0</v>
      </c>
      <c r="N69" s="167">
        <f t="shared" si="14"/>
        <v>13000</v>
      </c>
    </row>
    <row r="70" spans="1:14" x14ac:dyDescent="0.25">
      <c r="A70" s="163" t="s">
        <v>272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</row>
    <row r="71" spans="1:14" s="365" customFormat="1" x14ac:dyDescent="0.25">
      <c r="A71" s="363" t="s">
        <v>273</v>
      </c>
      <c r="B71" s="364">
        <v>0</v>
      </c>
      <c r="C71" s="364">
        <v>1900</v>
      </c>
      <c r="D71" s="364">
        <v>3250</v>
      </c>
      <c r="E71" s="364">
        <v>3725</v>
      </c>
      <c r="F71" s="364">
        <v>1750</v>
      </c>
      <c r="G71" s="364">
        <v>650</v>
      </c>
      <c r="H71" s="364">
        <v>750</v>
      </c>
      <c r="I71" s="364">
        <v>2500</v>
      </c>
      <c r="J71" s="364">
        <v>1700</v>
      </c>
      <c r="K71" s="364">
        <v>2450</v>
      </c>
      <c r="L71" s="364">
        <v>1300</v>
      </c>
      <c r="M71" s="364">
        <v>350</v>
      </c>
      <c r="N71" s="364">
        <f>SUM(B71:M71)</f>
        <v>20325</v>
      </c>
    </row>
    <row r="72" spans="1:14" x14ac:dyDescent="0.25">
      <c r="A72" s="166" t="s">
        <v>274</v>
      </c>
      <c r="B72" s="167">
        <f t="shared" ref="B72:N72" si="15">SUM(B71)</f>
        <v>0</v>
      </c>
      <c r="C72" s="167">
        <f t="shared" si="15"/>
        <v>1900</v>
      </c>
      <c r="D72" s="167">
        <f t="shared" si="15"/>
        <v>3250</v>
      </c>
      <c r="E72" s="167">
        <f t="shared" si="15"/>
        <v>3725</v>
      </c>
      <c r="F72" s="167">
        <f t="shared" si="15"/>
        <v>1750</v>
      </c>
      <c r="G72" s="167">
        <f t="shared" si="15"/>
        <v>650</v>
      </c>
      <c r="H72" s="167">
        <f t="shared" si="15"/>
        <v>750</v>
      </c>
      <c r="I72" s="167">
        <f t="shared" si="15"/>
        <v>2500</v>
      </c>
      <c r="J72" s="167">
        <f t="shared" si="15"/>
        <v>1700</v>
      </c>
      <c r="K72" s="167">
        <f t="shared" si="15"/>
        <v>2450</v>
      </c>
      <c r="L72" s="167">
        <f t="shared" si="15"/>
        <v>1300</v>
      </c>
      <c r="M72" s="167">
        <f t="shared" si="15"/>
        <v>350</v>
      </c>
      <c r="N72" s="167">
        <f t="shared" si="15"/>
        <v>20325</v>
      </c>
    </row>
    <row r="73" spans="1:14" x14ac:dyDescent="0.25">
      <c r="A73" s="163" t="s">
        <v>225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</row>
    <row r="74" spans="1:14" s="365" customFormat="1" x14ac:dyDescent="0.25">
      <c r="A74" s="363" t="s">
        <v>275</v>
      </c>
      <c r="B74" s="364">
        <v>0</v>
      </c>
      <c r="C74" s="364">
        <v>1500</v>
      </c>
      <c r="D74" s="364">
        <v>1800</v>
      </c>
      <c r="E74" s="364">
        <v>2500</v>
      </c>
      <c r="F74" s="364">
        <v>2500</v>
      </c>
      <c r="G74" s="364">
        <v>0</v>
      </c>
      <c r="H74" s="364">
        <v>1200</v>
      </c>
      <c r="I74" s="364">
        <v>1400</v>
      </c>
      <c r="J74" s="364">
        <v>1200</v>
      </c>
      <c r="K74" s="364">
        <v>1600</v>
      </c>
      <c r="L74" s="364">
        <v>1900</v>
      </c>
      <c r="M74" s="364">
        <v>500</v>
      </c>
      <c r="N74" s="364">
        <f>SUM(B74:M74)</f>
        <v>16100</v>
      </c>
    </row>
    <row r="75" spans="1:14" s="365" customFormat="1" x14ac:dyDescent="0.25">
      <c r="A75" s="363" t="s">
        <v>276</v>
      </c>
      <c r="B75" s="364">
        <v>0</v>
      </c>
      <c r="C75" s="364">
        <v>0</v>
      </c>
      <c r="D75" s="364">
        <v>300</v>
      </c>
      <c r="E75" s="364">
        <v>300</v>
      </c>
      <c r="F75" s="364">
        <v>300</v>
      </c>
      <c r="G75" s="364">
        <v>200</v>
      </c>
      <c r="H75" s="364">
        <v>100</v>
      </c>
      <c r="I75" s="364">
        <v>300</v>
      </c>
      <c r="J75" s="364">
        <v>300</v>
      </c>
      <c r="K75" s="364">
        <v>300</v>
      </c>
      <c r="L75" s="364">
        <v>100</v>
      </c>
      <c r="M75" s="364">
        <v>0</v>
      </c>
      <c r="N75" s="364">
        <f>SUM(B75:M75)</f>
        <v>2200</v>
      </c>
    </row>
    <row r="76" spans="1:14" x14ac:dyDescent="0.25">
      <c r="A76" s="166" t="s">
        <v>227</v>
      </c>
      <c r="B76" s="167">
        <f t="shared" ref="B76:N76" si="16">SUM(B74:B75)</f>
        <v>0</v>
      </c>
      <c r="C76" s="167">
        <f t="shared" si="16"/>
        <v>1500</v>
      </c>
      <c r="D76" s="167">
        <f t="shared" si="16"/>
        <v>2100</v>
      </c>
      <c r="E76" s="167">
        <f t="shared" si="16"/>
        <v>2800</v>
      </c>
      <c r="F76" s="167">
        <f t="shared" si="16"/>
        <v>2800</v>
      </c>
      <c r="G76" s="167">
        <f t="shared" si="16"/>
        <v>200</v>
      </c>
      <c r="H76" s="167">
        <f t="shared" si="16"/>
        <v>1300</v>
      </c>
      <c r="I76" s="167">
        <f t="shared" si="16"/>
        <v>1700</v>
      </c>
      <c r="J76" s="167">
        <f t="shared" si="16"/>
        <v>1500</v>
      </c>
      <c r="K76" s="167">
        <f t="shared" si="16"/>
        <v>1900</v>
      </c>
      <c r="L76" s="167">
        <f t="shared" si="16"/>
        <v>2000</v>
      </c>
      <c r="M76" s="167">
        <f t="shared" si="16"/>
        <v>500</v>
      </c>
      <c r="N76" s="167">
        <f t="shared" si="16"/>
        <v>18300</v>
      </c>
    </row>
    <row r="77" spans="1:14" x14ac:dyDescent="0.25">
      <c r="A77" s="168" t="s">
        <v>200</v>
      </c>
      <c r="B77" s="167">
        <f t="shared" ref="B77:N77" si="17">SUM(B69,B72,B76)</f>
        <v>0</v>
      </c>
      <c r="C77" s="167">
        <f t="shared" si="17"/>
        <v>4400</v>
      </c>
      <c r="D77" s="167">
        <f t="shared" si="17"/>
        <v>7350</v>
      </c>
      <c r="E77" s="167">
        <f t="shared" si="17"/>
        <v>8025</v>
      </c>
      <c r="F77" s="167">
        <f t="shared" si="17"/>
        <v>7050</v>
      </c>
      <c r="G77" s="167">
        <f t="shared" si="17"/>
        <v>850</v>
      </c>
      <c r="H77" s="167">
        <f t="shared" si="17"/>
        <v>2050</v>
      </c>
      <c r="I77" s="167">
        <f t="shared" si="17"/>
        <v>6700</v>
      </c>
      <c r="J77" s="167">
        <f t="shared" si="17"/>
        <v>5200</v>
      </c>
      <c r="K77" s="167">
        <f t="shared" si="17"/>
        <v>5850</v>
      </c>
      <c r="L77" s="167">
        <f t="shared" si="17"/>
        <v>3300</v>
      </c>
      <c r="M77" s="167">
        <f t="shared" si="17"/>
        <v>850</v>
      </c>
      <c r="N77" s="167">
        <f t="shared" si="17"/>
        <v>51625</v>
      </c>
    </row>
    <row r="78" spans="1:14" x14ac:dyDescent="0.25">
      <c r="A78" s="159" t="s">
        <v>29</v>
      </c>
      <c r="B78" s="160">
        <f t="shared" ref="B78:N78" si="18">B63+B77+0</f>
        <v>-21819.096713979299</v>
      </c>
      <c r="C78" s="160">
        <f t="shared" si="18"/>
        <v>-3322.480383136106</v>
      </c>
      <c r="D78" s="160">
        <f t="shared" si="18"/>
        <v>39105.185847707093</v>
      </c>
      <c r="E78" s="160">
        <f t="shared" si="18"/>
        <v>12225.13957855029</v>
      </c>
      <c r="F78" s="160">
        <f t="shared" si="18"/>
        <v>13415.005809393479</v>
      </c>
      <c r="G78" s="160">
        <f t="shared" si="18"/>
        <v>-7459.5366331361074</v>
      </c>
      <c r="H78" s="160">
        <f t="shared" si="18"/>
        <v>1464.7683093934756</v>
      </c>
      <c r="I78" s="160">
        <f t="shared" si="18"/>
        <v>21395.43332855028</v>
      </c>
      <c r="J78" s="160">
        <f t="shared" si="18"/>
        <v>7531.9295977070869</v>
      </c>
      <c r="K78" s="160">
        <f t="shared" si="18"/>
        <v>8407.5058093934786</v>
      </c>
      <c r="L78" s="160">
        <f t="shared" si="18"/>
        <v>1617.8858477070899</v>
      </c>
      <c r="M78" s="160">
        <f t="shared" si="18"/>
        <v>-21351.805511449711</v>
      </c>
      <c r="N78" s="160">
        <f t="shared" si="18"/>
        <v>57209.934886701114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94B4-18B6-E946-9F00-1A3318FE9630}">
  <sheetPr codeName="Sheet7">
    <tabColor rgb="FFFFFF00"/>
  </sheetPr>
  <dimension ref="A1:R38"/>
  <sheetViews>
    <sheetView topLeftCell="C2" zoomScaleNormal="100" workbookViewId="0">
      <selection activeCell="F7" sqref="F7"/>
    </sheetView>
  </sheetViews>
  <sheetFormatPr defaultRowHeight="15.75" x14ac:dyDescent="0.25"/>
  <cols>
    <col min="1" max="1" width="7.625" hidden="1" customWidth="1"/>
    <col min="2" max="2" width="13.875" hidden="1" customWidth="1"/>
    <col min="3" max="3" width="33" bestFit="1" customWidth="1"/>
    <col min="4" max="4" width="5.625" customWidth="1"/>
    <col min="5" max="5" width="12.875" hidden="1" customWidth="1"/>
    <col min="6" max="6" width="12.875" customWidth="1"/>
    <col min="7" max="7" width="13.375" style="233" customWidth="1"/>
    <col min="8" max="8" width="13.375" style="289" customWidth="1"/>
    <col min="9" max="9" width="13.375" style="234" customWidth="1"/>
    <col min="10" max="10" width="13.375" style="289" customWidth="1"/>
    <col min="11" max="17" width="13.375" style="234" customWidth="1"/>
    <col min="18" max="18" width="21" bestFit="1" customWidth="1"/>
  </cols>
  <sheetData>
    <row r="1" spans="1:18" x14ac:dyDescent="0.25">
      <c r="C1" t="s">
        <v>277</v>
      </c>
    </row>
    <row r="2" spans="1:18" s="169" customFormat="1" ht="45" x14ac:dyDescent="0.25">
      <c r="C2" s="235"/>
      <c r="D2" s="290" t="s">
        <v>278</v>
      </c>
      <c r="E2" s="236" t="s">
        <v>279</v>
      </c>
      <c r="F2" s="236" t="s">
        <v>280</v>
      </c>
      <c r="G2" s="236" t="s">
        <v>281</v>
      </c>
      <c r="H2" s="291" t="s">
        <v>282</v>
      </c>
      <c r="I2" s="237" t="s">
        <v>283</v>
      </c>
      <c r="J2" s="291" t="s">
        <v>284</v>
      </c>
      <c r="K2" s="237" t="s">
        <v>285</v>
      </c>
      <c r="L2" s="238" t="s">
        <v>286</v>
      </c>
      <c r="M2" s="237" t="s">
        <v>287</v>
      </c>
      <c r="N2" s="238" t="s">
        <v>288</v>
      </c>
      <c r="O2" s="237" t="s">
        <v>289</v>
      </c>
      <c r="P2" s="238" t="s">
        <v>290</v>
      </c>
      <c r="Q2" s="237" t="s">
        <v>291</v>
      </c>
      <c r="R2" s="169" t="s">
        <v>292</v>
      </c>
    </row>
    <row r="3" spans="1:18" s="169" customFormat="1" x14ac:dyDescent="0.25">
      <c r="A3" s="166" t="s">
        <v>247</v>
      </c>
      <c r="B3" s="217" t="s">
        <v>29</v>
      </c>
      <c r="C3" s="239" t="s">
        <v>293</v>
      </c>
      <c r="D3" s="292">
        <f t="shared" ref="D3:D8" si="0">E3/$E$18</f>
        <v>8.8801803009345301E-2</v>
      </c>
      <c r="E3" s="240">
        <f>VLOOKUP(A3,'[2]BUSINESS SCHOOL'!1:1048576,14,FALSE)</f>
        <v>321320</v>
      </c>
      <c r="F3" s="298">
        <f>G3+('[2]Catering Admin Allocation'!I8)</f>
        <v>26739.050262816047</v>
      </c>
      <c r="G3" s="298">
        <f>VLOOKUP(B3,'[2]BUSINESS SCHOOL'!1:1048576,14,FALSE)</f>
        <v>58854.764925899974</v>
      </c>
      <c r="H3" s="294">
        <v>-8510.7600000000675</v>
      </c>
      <c r="I3" s="295">
        <v>-5017.4817612500046</v>
      </c>
      <c r="J3" s="294">
        <v>-26825.82</v>
      </c>
      <c r="K3" s="295">
        <v>1407.3367571999843</v>
      </c>
      <c r="L3" s="296">
        <v>-1366.67</v>
      </c>
      <c r="M3" s="295"/>
      <c r="N3" s="242">
        <v>-26664.37</v>
      </c>
      <c r="O3" s="241">
        <v>0</v>
      </c>
      <c r="P3" s="242">
        <v>-2955.04</v>
      </c>
      <c r="Q3" s="241">
        <v>0</v>
      </c>
    </row>
    <row r="4" spans="1:18" x14ac:dyDescent="0.25">
      <c r="A4" s="166" t="s">
        <v>247</v>
      </c>
      <c r="B4" s="217" t="s">
        <v>29</v>
      </c>
      <c r="C4" s="243" t="s">
        <v>294</v>
      </c>
      <c r="D4" s="292">
        <f t="shared" si="0"/>
        <v>0.21871161108723619</v>
      </c>
      <c r="E4" s="297">
        <f>VLOOKUP(A4,[2]CATALYST!1:1048576,14,FALSE)</f>
        <v>791385</v>
      </c>
      <c r="F4" s="298">
        <f>G4+('[2]Catering Admin Allocation'!I9)</f>
        <v>71282.428039614519</v>
      </c>
      <c r="G4" s="298">
        <f>VLOOKUP(B4,[2]CATALYST!1:1048576,14,FALSE)</f>
        <v>150380.81858064735</v>
      </c>
      <c r="H4" s="299">
        <v>79179.959999999905</v>
      </c>
      <c r="I4" s="300">
        <v>90730.065763749997</v>
      </c>
      <c r="J4" s="299">
        <v>56084.4</v>
      </c>
      <c r="K4" s="300">
        <v>115115.8783175</v>
      </c>
      <c r="L4" s="301">
        <v>85337.36</v>
      </c>
      <c r="M4" s="300">
        <v>102852.00670425</v>
      </c>
      <c r="N4" s="245">
        <v>174330.48</v>
      </c>
      <c r="O4" s="244">
        <v>95417.984300701239</v>
      </c>
      <c r="P4" s="245">
        <v>135051.54</v>
      </c>
      <c r="Q4" s="244">
        <v>81899.710000000006</v>
      </c>
    </row>
    <row r="5" spans="1:18" x14ac:dyDescent="0.25">
      <c r="A5" s="166" t="s">
        <v>247</v>
      </c>
      <c r="B5" s="217" t="s">
        <v>29</v>
      </c>
      <c r="C5" s="243" t="s">
        <v>295</v>
      </c>
      <c r="D5" s="292">
        <f t="shared" si="0"/>
        <v>7.6846226020100078E-2</v>
      </c>
      <c r="E5" s="297">
        <f>VLOOKUP(A5,[2]DENTISTRY!1:1048576,14,FALSE)</f>
        <v>278060</v>
      </c>
      <c r="F5" s="298">
        <f>G5+('[2]Catering Admin Allocation'!I10)</f>
        <v>15925.798876015266</v>
      </c>
      <c r="G5" s="298">
        <f>VLOOKUP(B5,[2]DENTISTRY!1:1048576,14,FALSE)</f>
        <v>43717.706068898115</v>
      </c>
      <c r="H5" s="299">
        <v>23236.270000000019</v>
      </c>
      <c r="I5" s="300">
        <v>21920.636165000004</v>
      </c>
      <c r="J5" s="299">
        <v>15753.32</v>
      </c>
      <c r="K5" s="300">
        <v>30881.998317677018</v>
      </c>
      <c r="L5" s="301">
        <v>38941.11</v>
      </c>
      <c r="M5" s="300">
        <v>23033.416764875001</v>
      </c>
      <c r="N5" s="245">
        <v>56350.63</v>
      </c>
      <c r="O5" s="244">
        <v>22902.863169184522</v>
      </c>
      <c r="P5" s="245">
        <v>32369.62</v>
      </c>
      <c r="Q5" s="244">
        <v>28795.86</v>
      </c>
    </row>
    <row r="6" spans="1:18" x14ac:dyDescent="0.25">
      <c r="A6" s="166" t="s">
        <v>247</v>
      </c>
      <c r="B6" s="217" t="s">
        <v>29</v>
      </c>
      <c r="C6" s="243" t="s">
        <v>296</v>
      </c>
      <c r="D6" s="292">
        <f t="shared" si="0"/>
        <v>1.5198727612656993E-2</v>
      </c>
      <c r="E6" s="297">
        <f>VLOOKUP(A6,[2]NEDLANDS!1:1048576,14,FALSE)</f>
        <v>54995</v>
      </c>
      <c r="F6" s="293">
        <f>G6+('[2]Catering Admin Allocation'!I11)</f>
        <v>-4699.6744597482293</v>
      </c>
      <c r="G6" s="293">
        <f>VLOOKUP(B6,[2]NEDLANDS!1:1048576,14,FALSE)</f>
        <v>797.03824999999779</v>
      </c>
      <c r="H6" s="299">
        <v>876.3199999999888</v>
      </c>
      <c r="I6" s="300">
        <v>67.387499999998909</v>
      </c>
      <c r="J6" s="299">
        <v>1620.86</v>
      </c>
      <c r="K6" s="300">
        <v>733.34485000000313</v>
      </c>
      <c r="L6" s="301">
        <v>-5354.52</v>
      </c>
      <c r="M6" s="300"/>
      <c r="N6" s="245">
        <v>-14099.64</v>
      </c>
      <c r="O6" s="244"/>
      <c r="P6" s="245">
        <v>-22573.34</v>
      </c>
      <c r="Q6" s="244"/>
    </row>
    <row r="7" spans="1:18" x14ac:dyDescent="0.25">
      <c r="A7" s="166" t="s">
        <v>247</v>
      </c>
      <c r="B7" s="217" t="s">
        <v>29</v>
      </c>
      <c r="C7" s="243" t="s">
        <v>297</v>
      </c>
      <c r="D7" s="292">
        <f t="shared" si="0"/>
        <v>0.13450300478527083</v>
      </c>
      <c r="E7" s="297">
        <f>VLOOKUP(A7,[2]HACKETT!1:1048576,14,FALSE)</f>
        <v>486685</v>
      </c>
      <c r="F7" s="298">
        <f>G7+('[2]Catering Admin Allocation'!I12)</f>
        <v>18959.486728419943</v>
      </c>
      <c r="G7" s="298">
        <f>VLOOKUP(B7,[2]HACKETT!1:1048576,14,FALSE)</f>
        <v>67603.320261355955</v>
      </c>
      <c r="H7" s="299">
        <v>-42309.729999999916</v>
      </c>
      <c r="I7" s="300">
        <v>-5640.9352337500313</v>
      </c>
      <c r="J7" s="299">
        <v>-5904.85</v>
      </c>
      <c r="K7" s="300">
        <v>13372.71372900001</v>
      </c>
      <c r="L7" s="301">
        <v>12249.52</v>
      </c>
      <c r="M7" s="300">
        <v>-19211.387492546113</v>
      </c>
      <c r="N7" s="245">
        <v>12097.76</v>
      </c>
      <c r="O7" s="244">
        <v>10485.447519311274</v>
      </c>
      <c r="P7" s="245">
        <v>-13446.75</v>
      </c>
      <c r="Q7" s="244">
        <v>-4683.49</v>
      </c>
    </row>
    <row r="8" spans="1:18" x14ac:dyDescent="0.25">
      <c r="A8" s="166" t="s">
        <v>247</v>
      </c>
      <c r="B8" s="217" t="s">
        <v>29</v>
      </c>
      <c r="C8" s="243" t="s">
        <v>298</v>
      </c>
      <c r="D8" s="292">
        <f t="shared" si="0"/>
        <v>0.23848971712596331</v>
      </c>
      <c r="E8" s="297">
        <f>VLOOKUP(A8,[2]QUOBBA!1:1048576,14,FALSE)</f>
        <v>862950</v>
      </c>
      <c r="F8" s="298">
        <f>G8+('[2]Catering Admin Allocation'!I13)</f>
        <v>77964.675924747513</v>
      </c>
      <c r="G8" s="298">
        <f>VLOOKUP(B8,[2]QUOBBA!1:1048576,14,FALSE)</f>
        <v>164215.93936464627</v>
      </c>
      <c r="H8" s="299">
        <v>332665.51</v>
      </c>
      <c r="I8" s="300">
        <v>340083.43430000008</v>
      </c>
      <c r="J8" s="299">
        <v>242661.34</v>
      </c>
      <c r="K8" s="300">
        <v>302625.95836238912</v>
      </c>
      <c r="L8" s="301">
        <v>275002.26</v>
      </c>
      <c r="M8" s="300">
        <v>316672.69795400009</v>
      </c>
      <c r="N8" s="245">
        <v>386534.99</v>
      </c>
      <c r="O8" s="244">
        <v>355265.56766216876</v>
      </c>
      <c r="P8" s="245">
        <v>429332.17</v>
      </c>
      <c r="Q8" s="244">
        <v>282827.71000000002</v>
      </c>
    </row>
    <row r="9" spans="1:18" hidden="1" x14ac:dyDescent="0.25">
      <c r="A9" s="166" t="s">
        <v>247</v>
      </c>
      <c r="D9" s="87"/>
      <c r="E9" s="246"/>
      <c r="F9" s="302"/>
      <c r="G9" s="302"/>
      <c r="H9" s="303"/>
      <c r="I9" s="304"/>
      <c r="J9" s="303">
        <f t="shared" ref="J9:Q9" si="1">SUM(J3:J8)</f>
        <v>283389.25</v>
      </c>
      <c r="K9" s="304">
        <f t="shared" si="1"/>
        <v>464137.23033376614</v>
      </c>
      <c r="L9" s="305">
        <f t="shared" si="1"/>
        <v>404809.06</v>
      </c>
      <c r="M9" s="304">
        <f t="shared" si="1"/>
        <v>423346.73393057898</v>
      </c>
      <c r="N9" s="248">
        <f t="shared" si="1"/>
        <v>588549.85000000009</v>
      </c>
      <c r="O9" s="247">
        <f t="shared" si="1"/>
        <v>484071.86265136581</v>
      </c>
      <c r="P9" s="248">
        <f t="shared" si="1"/>
        <v>557778.19999999995</v>
      </c>
      <c r="Q9" s="247">
        <f t="shared" si="1"/>
        <v>388839.79000000004</v>
      </c>
    </row>
    <row r="10" spans="1:18" x14ac:dyDescent="0.25">
      <c r="A10" s="166" t="s">
        <v>247</v>
      </c>
      <c r="B10" s="217" t="s">
        <v>29</v>
      </c>
      <c r="C10" s="249" t="s">
        <v>44</v>
      </c>
      <c r="D10" s="306"/>
      <c r="E10" s="297">
        <v>0</v>
      </c>
      <c r="F10" s="298"/>
      <c r="G10" s="298">
        <f>VLOOKUP(B10,'[2] CATERING ADMIN'!1:1048576,14,FALSE)</f>
        <v>-338717.64491998969</v>
      </c>
      <c r="H10" s="307">
        <v>-207910</v>
      </c>
      <c r="I10" s="308">
        <v>-308089.29730910208</v>
      </c>
      <c r="J10" s="307">
        <v>-190860.67</v>
      </c>
      <c r="K10" s="308">
        <v>-290871.04701766762</v>
      </c>
      <c r="L10" s="309">
        <v>-253229.13</v>
      </c>
      <c r="M10" s="308">
        <v>-290284.93291727116</v>
      </c>
      <c r="N10" s="251">
        <v>-219115.12</v>
      </c>
      <c r="O10" s="250">
        <v>-276843.74</v>
      </c>
      <c r="P10" s="251">
        <v>-368194.22</v>
      </c>
      <c r="Q10" s="250">
        <v>-302457.43</v>
      </c>
    </row>
    <row r="11" spans="1:18" x14ac:dyDescent="0.25">
      <c r="A11" s="166" t="s">
        <v>247</v>
      </c>
      <c r="B11" s="217" t="s">
        <v>29</v>
      </c>
      <c r="C11" s="243" t="s">
        <v>299</v>
      </c>
      <c r="D11" s="292">
        <f>E11/$E$18</f>
        <v>9.0647925392335557E-2</v>
      </c>
      <c r="E11" s="297">
        <f>VLOOKUP(A11,[2]FUNCTIONS!1:1048576,14,FALSE)</f>
        <v>328000</v>
      </c>
      <c r="F11" s="298">
        <f>G11+('[2]Catering Admin Allocation'!I17)</f>
        <v>48008.811722138111</v>
      </c>
      <c r="G11" s="298">
        <f>VLOOKUP(B11,[2]FUNCTIONS!1:1048576,14,FALSE)</f>
        <v>59491.615976085479</v>
      </c>
      <c r="H11" s="299">
        <v>38560.069999999978</v>
      </c>
      <c r="I11" s="300">
        <v>54773.103069412638</v>
      </c>
      <c r="J11" s="299">
        <v>44879.040000000001</v>
      </c>
      <c r="K11" s="300">
        <v>42915.626990305696</v>
      </c>
      <c r="L11" s="301">
        <v>-14404.23</v>
      </c>
      <c r="M11" s="300">
        <v>75019.155999999988</v>
      </c>
      <c r="N11" s="245">
        <v>18129.48</v>
      </c>
      <c r="O11" s="244">
        <v>70837.972034129256</v>
      </c>
      <c r="P11" s="245">
        <v>89883</v>
      </c>
      <c r="Q11" s="244">
        <v>70507.61</v>
      </c>
    </row>
    <row r="12" spans="1:18" x14ac:dyDescent="0.25">
      <c r="A12" s="166" t="s">
        <v>247</v>
      </c>
      <c r="B12" s="217" t="s">
        <v>29</v>
      </c>
      <c r="C12" s="243" t="s">
        <v>300</v>
      </c>
      <c r="D12" s="310"/>
      <c r="E12" s="297">
        <v>0</v>
      </c>
      <c r="F12" s="298">
        <f>G12</f>
        <v>-184146.45811739244</v>
      </c>
      <c r="G12" s="293">
        <f>VLOOKUP(B12,[2]KITCHEN!1:1048576,14,FALSE)</f>
        <v>-184146.45811739244</v>
      </c>
      <c r="H12" s="299">
        <v>-129624.70999999999</v>
      </c>
      <c r="I12" s="300">
        <v>-171547.20782018144</v>
      </c>
      <c r="J12" s="299">
        <v>-124183.47</v>
      </c>
      <c r="K12" s="300">
        <v>-185012.35223471298</v>
      </c>
      <c r="L12" s="301">
        <v>-172330.73</v>
      </c>
      <c r="M12" s="300">
        <v>-185090.44469839722</v>
      </c>
      <c r="N12" s="245">
        <v>-143684.18</v>
      </c>
      <c r="O12" s="244">
        <v>-184891.49689410464</v>
      </c>
      <c r="P12" s="245">
        <v>-199347.24</v>
      </c>
      <c r="Q12" s="244">
        <v>-202482.82</v>
      </c>
    </row>
    <row r="13" spans="1:18" x14ac:dyDescent="0.25">
      <c r="A13" s="166" t="s">
        <v>247</v>
      </c>
      <c r="B13" s="217" t="s">
        <v>29</v>
      </c>
      <c r="C13" s="252" t="s">
        <v>301</v>
      </c>
      <c r="D13" s="311"/>
      <c r="E13" s="253">
        <f>SUM(E3:E10)</f>
        <v>2795395</v>
      </c>
      <c r="F13" s="312">
        <f>SUM(F3:F12)</f>
        <v>70034.118976610742</v>
      </c>
      <c r="G13" s="312">
        <f>SUM(G3:G12)</f>
        <v>22197.100390151027</v>
      </c>
      <c r="H13" s="313">
        <f>SUM(H3:H12)</f>
        <v>86162.929999999935</v>
      </c>
      <c r="I13" s="314">
        <f>SUM(I3:I9,I10)</f>
        <v>134053.80942464794</v>
      </c>
      <c r="J13" s="313">
        <f t="shared" ref="J13:Q13" si="2">SUM(J9,J10)</f>
        <v>92528.579999999987</v>
      </c>
      <c r="K13" s="314">
        <f t="shared" si="2"/>
        <v>173266.18331609853</v>
      </c>
      <c r="L13" s="315">
        <f t="shared" si="2"/>
        <v>151579.93</v>
      </c>
      <c r="M13" s="314">
        <f t="shared" si="2"/>
        <v>133061.80101330782</v>
      </c>
      <c r="N13" s="255">
        <f t="shared" si="2"/>
        <v>369434.7300000001</v>
      </c>
      <c r="O13" s="254">
        <f t="shared" si="2"/>
        <v>207228.12265136582</v>
      </c>
      <c r="P13" s="255">
        <f t="shared" si="2"/>
        <v>189583.97999999998</v>
      </c>
      <c r="Q13" s="254">
        <f t="shared" si="2"/>
        <v>86382.360000000044</v>
      </c>
    </row>
    <row r="14" spans="1:18" x14ac:dyDescent="0.25">
      <c r="A14" s="166"/>
      <c r="B14" s="217"/>
      <c r="C14" s="252"/>
      <c r="D14" s="311"/>
      <c r="E14" s="253"/>
      <c r="F14" s="312"/>
      <c r="G14" s="312"/>
      <c r="H14" s="313"/>
      <c r="I14" s="314"/>
      <c r="J14" s="313"/>
      <c r="K14" s="314"/>
      <c r="L14" s="315"/>
      <c r="M14" s="314"/>
      <c r="N14" s="255"/>
      <c r="O14" s="254"/>
      <c r="P14" s="255"/>
      <c r="Q14" s="254"/>
    </row>
    <row r="15" spans="1:18" x14ac:dyDescent="0.25">
      <c r="A15" s="166" t="s">
        <v>247</v>
      </c>
      <c r="B15" s="217" t="s">
        <v>29</v>
      </c>
      <c r="C15" s="243" t="s">
        <v>239</v>
      </c>
      <c r="D15" s="292">
        <f>E15/$E$18</f>
        <v>0.22744891035942733</v>
      </c>
      <c r="E15" s="297">
        <f>VLOOKUP(A15,[2]TAVERN!1:1048576,14,FALSE)</f>
        <v>823000</v>
      </c>
      <c r="F15" s="298">
        <f>G15+('[2]Catering Admin Allocation'!I16)</f>
        <v>9372.9163002414207</v>
      </c>
      <c r="G15" s="298">
        <f>VLOOKUP(B15,[2]TAVERN!1:1048576,14,FALSE)</f>
        <v>57209.934886701114</v>
      </c>
      <c r="H15" s="299">
        <v>24545.460000000108</v>
      </c>
      <c r="I15" s="316">
        <v>39440.408371177502</v>
      </c>
      <c r="J15" s="299">
        <v>-31429.05</v>
      </c>
      <c r="K15" s="316">
        <v>14639.97</v>
      </c>
      <c r="L15" s="301">
        <v>-9676.1200000000008</v>
      </c>
      <c r="M15" s="316">
        <v>15234.45</v>
      </c>
      <c r="N15" s="257">
        <v>58308.91</v>
      </c>
      <c r="O15" s="256">
        <v>23161.69</v>
      </c>
      <c r="P15" s="258">
        <v>-2318.29</v>
      </c>
      <c r="Q15" s="256">
        <v>39628.050000000003</v>
      </c>
    </row>
    <row r="16" spans="1:18" s="264" customFormat="1" ht="15" x14ac:dyDescent="0.25">
      <c r="A16" s="163"/>
      <c r="B16" s="317"/>
      <c r="C16" s="318" t="s">
        <v>302</v>
      </c>
      <c r="D16" s="319"/>
      <c r="E16" s="320"/>
      <c r="F16" s="370">
        <f>SUM(F15)</f>
        <v>9372.9163002414207</v>
      </c>
      <c r="G16" s="370">
        <f>SUM(G15)</f>
        <v>57209.934886701114</v>
      </c>
      <c r="H16" s="321">
        <f>SUM(H15)</f>
        <v>24545.460000000108</v>
      </c>
      <c r="I16" s="322">
        <f>SUM(I11:I15)</f>
        <v>56720.113045056642</v>
      </c>
      <c r="J16" s="321"/>
      <c r="K16" s="322"/>
      <c r="L16" s="323"/>
      <c r="M16" s="322"/>
      <c r="N16" s="324"/>
      <c r="O16" s="325"/>
      <c r="P16" s="326"/>
      <c r="Q16" s="325"/>
    </row>
    <row r="17" spans="1:17" x14ac:dyDescent="0.25">
      <c r="A17" s="163"/>
      <c r="B17" s="8"/>
      <c r="C17" s="327"/>
      <c r="D17" s="328"/>
      <c r="E17" s="329"/>
      <c r="F17" s="330"/>
      <c r="G17" s="331"/>
      <c r="H17" s="332"/>
      <c r="I17" s="333"/>
      <c r="J17" s="332"/>
      <c r="K17" s="333"/>
      <c r="L17" s="334"/>
      <c r="M17" s="333"/>
      <c r="N17" s="335"/>
      <c r="O17" s="336"/>
      <c r="P17" s="337"/>
      <c r="Q17" s="336"/>
    </row>
    <row r="18" spans="1:17" ht="16.5" thickBot="1" x14ac:dyDescent="0.3">
      <c r="C18" s="259" t="s">
        <v>303</v>
      </c>
      <c r="D18" s="338">
        <f>SUM(D3:D15)</f>
        <v>1.0906479253923356</v>
      </c>
      <c r="E18" s="260">
        <f>SUM(E13:E15)</f>
        <v>3618395</v>
      </c>
      <c r="F18" s="339">
        <f>SUM(F13,F16)</f>
        <v>79407.03527685217</v>
      </c>
      <c r="G18" s="339">
        <f>SUM(G13,G16)</f>
        <v>79407.035276852141</v>
      </c>
      <c r="H18" s="340">
        <f>SUM(H13,H16)</f>
        <v>110708.39000000004</v>
      </c>
      <c r="I18" s="341">
        <f t="shared" ref="I18:Q18" si="3">SUM(I13:I15)</f>
        <v>173494.21779582545</v>
      </c>
      <c r="J18" s="340">
        <f t="shared" si="3"/>
        <v>61099.529999999984</v>
      </c>
      <c r="K18" s="341">
        <f t="shared" si="3"/>
        <v>187906.15331609853</v>
      </c>
      <c r="L18" s="342">
        <f t="shared" si="3"/>
        <v>141903.81</v>
      </c>
      <c r="M18" s="341">
        <f t="shared" si="3"/>
        <v>148296.25101330783</v>
      </c>
      <c r="N18" s="262">
        <f t="shared" si="3"/>
        <v>427743.64000000013</v>
      </c>
      <c r="O18" s="261">
        <f t="shared" si="3"/>
        <v>230389.81265136582</v>
      </c>
      <c r="P18" s="263">
        <f t="shared" si="3"/>
        <v>187265.68999999997</v>
      </c>
      <c r="Q18" s="261">
        <f t="shared" si="3"/>
        <v>126010.41000000005</v>
      </c>
    </row>
    <row r="19" spans="1:17" ht="16.5" thickTop="1" x14ac:dyDescent="0.25">
      <c r="C19" s="264"/>
      <c r="D19" s="264"/>
      <c r="E19" s="264"/>
      <c r="F19" s="264"/>
      <c r="G19" s="265"/>
      <c r="H19" s="269"/>
      <c r="I19" s="266"/>
      <c r="J19" s="269"/>
      <c r="K19" s="266"/>
      <c r="L19" s="267"/>
      <c r="M19" s="268"/>
      <c r="N19" s="268" t="s">
        <v>304</v>
      </c>
      <c r="O19" s="266"/>
      <c r="P19" s="269"/>
      <c r="Q19" s="270"/>
    </row>
    <row r="20" spans="1:17" x14ac:dyDescent="0.25">
      <c r="F20" s="233"/>
    </row>
    <row r="21" spans="1:17" ht="30" x14ac:dyDescent="0.25">
      <c r="C21" s="252" t="s">
        <v>305</v>
      </c>
      <c r="D21" s="252"/>
      <c r="E21" s="252"/>
      <c r="F21" s="343" t="s">
        <v>306</v>
      </c>
      <c r="G21" s="344" t="s">
        <v>282</v>
      </c>
      <c r="H21" s="345" t="s">
        <v>283</v>
      </c>
      <c r="I21" s="346" t="s">
        <v>284</v>
      </c>
      <c r="J21" s="345" t="s">
        <v>286</v>
      </c>
      <c r="K21" s="347" t="s">
        <v>288</v>
      </c>
      <c r="L21" s="347" t="s">
        <v>290</v>
      </c>
      <c r="M21" s="348"/>
    </row>
    <row r="22" spans="1:17" x14ac:dyDescent="0.25">
      <c r="B22" s="349" t="s">
        <v>247</v>
      </c>
      <c r="C22" s="243" t="s">
        <v>307</v>
      </c>
      <c r="D22" s="243"/>
      <c r="E22" s="243"/>
      <c r="F22" s="350">
        <f>'[2]BUSINESS SCHOOL'!N11+[2]CATALYST!N13+[2]DENTISTRY!N13+[2]NEDLANDS!N13+[2]FUNCTIONS!N12+[2]HACKETT!N13+[2]QUOBBA!N13+[2]TAVERN!N15</f>
        <v>3946395</v>
      </c>
      <c r="G22" s="351">
        <v>4220326</v>
      </c>
      <c r="H22" s="351">
        <v>4354350</v>
      </c>
      <c r="I22" s="352">
        <v>3720732</v>
      </c>
      <c r="J22" s="351">
        <v>4143927</v>
      </c>
      <c r="K22" s="352">
        <v>3366966</v>
      </c>
      <c r="L22" s="352">
        <v>6107752</v>
      </c>
    </row>
    <row r="23" spans="1:17" x14ac:dyDescent="0.25">
      <c r="B23" s="349" t="s">
        <v>244</v>
      </c>
      <c r="C23" s="243" t="s">
        <v>308</v>
      </c>
      <c r="D23" s="243"/>
      <c r="E23" s="243"/>
      <c r="F23" s="353">
        <f>[2]TAVERN!N12</f>
        <v>-38864.5</v>
      </c>
      <c r="G23" s="353">
        <v>-245184</v>
      </c>
      <c r="H23" s="353">
        <v>-10000</v>
      </c>
      <c r="I23" s="354">
        <v>-155444</v>
      </c>
      <c r="J23" s="353">
        <v>-175310</v>
      </c>
      <c r="K23" s="354">
        <v>-148666</v>
      </c>
      <c r="L23" s="354">
        <v>-477897</v>
      </c>
    </row>
    <row r="24" spans="1:17" x14ac:dyDescent="0.25">
      <c r="B24" s="355" t="s">
        <v>251</v>
      </c>
      <c r="C24" s="243" t="s">
        <v>309</v>
      </c>
      <c r="D24" s="243"/>
      <c r="E24" s="243"/>
      <c r="F24" s="350">
        <f>-SUM('[2]BUSINESS SCHOOL'!N21,[2]CATALYST!N23,[2]DENTISTRY!N23,[2]NEDLANDS!N23,[2]FUNCTIONS!N15,[2]HACKETT!N23,[2]QUOBBA!N23,[2]TAVERN!N19)</f>
        <v>-1343142.925</v>
      </c>
      <c r="G24" s="351">
        <v>-1467789</v>
      </c>
      <c r="H24" s="351">
        <v>-1499041</v>
      </c>
      <c r="I24" s="352">
        <v>-1300130</v>
      </c>
      <c r="J24" s="351">
        <v>-1488438</v>
      </c>
      <c r="K24" s="352">
        <v>-1233886</v>
      </c>
      <c r="L24" s="352">
        <v>-2342286</v>
      </c>
    </row>
    <row r="25" spans="1:17" x14ac:dyDescent="0.25">
      <c r="B25" s="355"/>
      <c r="C25" s="243"/>
      <c r="D25" s="243"/>
      <c r="E25" s="243"/>
      <c r="F25" s="310">
        <f>F24/F22</f>
        <v>-0.34034680385516403</v>
      </c>
      <c r="G25" s="310">
        <f>G24/G22</f>
        <v>-0.34779043135530291</v>
      </c>
      <c r="H25" s="351"/>
      <c r="I25" s="352"/>
      <c r="J25" s="351"/>
      <c r="K25" s="352"/>
      <c r="L25" s="352"/>
    </row>
    <row r="26" spans="1:17" x14ac:dyDescent="0.25">
      <c r="B26" s="349" t="s">
        <v>222</v>
      </c>
      <c r="C26" s="243" t="s">
        <v>310</v>
      </c>
      <c r="D26" s="243"/>
      <c r="E26" s="243"/>
      <c r="F26" s="350">
        <f>-SUM('[2]BUSINESS SCHOOL'!N51,[2]CATALYST!N56,[2]DENTISTRY!N55,[2]NEDLANDS!N53,[2]FUNCTIONS!N46,[2]HACKETT!N55,[2]KITCHEN!N39,[2]QUOBBA!N53,'[2] CATERING ADMIN'!N37,[2]TAVERN!N61)</f>
        <v>-1921045.729723148</v>
      </c>
      <c r="G26" s="351">
        <v>-2058177</v>
      </c>
      <c r="H26" s="351">
        <v>-2216050</v>
      </c>
      <c r="I26" s="352">
        <v>-1980752</v>
      </c>
      <c r="J26" s="351">
        <v>-2043200</v>
      </c>
      <c r="K26" s="352">
        <v>-1180688</v>
      </c>
      <c r="L26" s="352">
        <v>-2470216</v>
      </c>
    </row>
    <row r="27" spans="1:17" x14ac:dyDescent="0.25">
      <c r="B27" s="349"/>
      <c r="C27" s="243"/>
      <c r="D27" s="243"/>
      <c r="E27" s="243"/>
      <c r="F27" s="310">
        <f>F26/F22</f>
        <v>-0.48678495936751087</v>
      </c>
      <c r="G27" s="356">
        <f>G26/G22</f>
        <v>-0.48768199423456859</v>
      </c>
      <c r="H27" s="351"/>
      <c r="I27" s="352"/>
      <c r="J27" s="351"/>
      <c r="K27" s="352"/>
      <c r="L27" s="352"/>
    </row>
    <row r="28" spans="1:17" x14ac:dyDescent="0.25">
      <c r="B28" s="349" t="s">
        <v>190</v>
      </c>
      <c r="C28" s="243" t="s">
        <v>311</v>
      </c>
      <c r="D28" s="243"/>
      <c r="E28" s="243"/>
      <c r="F28" s="350">
        <f>-SUM('[2]BUSINESS SCHOOL'!N43,[2]CATALYST!N48,[2]DENTISTRY!N47,[2]NEDLANDS!N45,[2]FUNCTIONS!N38,[2]KITCHEN!N31,[2]QUOBBA!N45,'[2] CATERING ADMIN'!N30,[2]TAVERN!N53,[2]HACKETT!N47)</f>
        <v>-643199.81000000006</v>
      </c>
      <c r="G28" s="351">
        <v>-507509</v>
      </c>
      <c r="H28" s="351">
        <v>-664093</v>
      </c>
      <c r="I28" s="352">
        <v>-512620</v>
      </c>
      <c r="J28" s="351">
        <v>-647945</v>
      </c>
      <c r="K28" s="352">
        <v>-622762</v>
      </c>
      <c r="L28" s="352">
        <v>-902332</v>
      </c>
    </row>
    <row r="29" spans="1:17" x14ac:dyDescent="0.25">
      <c r="B29" s="168" t="s">
        <v>200</v>
      </c>
      <c r="C29" s="243" t="s">
        <v>312</v>
      </c>
      <c r="D29" s="243"/>
      <c r="E29" s="243"/>
      <c r="F29" s="350">
        <f>SUM([2]NEDLANDS!N60,[2]FUNCTIONS!N61,[2]TAVERN!N77)</f>
        <v>79265</v>
      </c>
      <c r="G29" s="351">
        <v>169042</v>
      </c>
      <c r="H29" s="351">
        <v>93056</v>
      </c>
      <c r="I29" s="352">
        <v>141313</v>
      </c>
      <c r="J29" s="351">
        <v>162380</v>
      </c>
      <c r="K29" s="352">
        <v>116613</v>
      </c>
      <c r="L29" s="352">
        <v>180833</v>
      </c>
    </row>
    <row r="30" spans="1:17" x14ac:dyDescent="0.25">
      <c r="C30" s="243"/>
      <c r="D30" s="243"/>
      <c r="E30" s="243"/>
      <c r="F30" s="350"/>
      <c r="G30" s="351"/>
      <c r="H30" s="351"/>
      <c r="I30" s="352"/>
      <c r="J30" s="351"/>
      <c r="K30" s="352"/>
      <c r="L30" s="352"/>
    </row>
    <row r="31" spans="1:17" x14ac:dyDescent="0.25">
      <c r="C31" s="243" t="s">
        <v>313</v>
      </c>
      <c r="D31" s="243"/>
      <c r="E31" s="243"/>
      <c r="F31" s="352">
        <f>SUM(F22:F30)</f>
        <v>79406.208145088865</v>
      </c>
      <c r="G31" s="354">
        <f>SUM(G22:G29)</f>
        <v>110708.16452757455</v>
      </c>
      <c r="H31" s="354">
        <f>SUM(H22:H29)</f>
        <v>58222</v>
      </c>
      <c r="I31" s="354">
        <f>SUM(I22:I29)</f>
        <v>-86901</v>
      </c>
      <c r="J31" s="354">
        <f t="shared" ref="J31:L31" si="4">SUM(J22:J29)</f>
        <v>-48586</v>
      </c>
      <c r="K31" s="354">
        <f t="shared" si="4"/>
        <v>297577</v>
      </c>
      <c r="L31" s="354">
        <f t="shared" si="4"/>
        <v>95854</v>
      </c>
    </row>
    <row r="32" spans="1:17" x14ac:dyDescent="0.25">
      <c r="C32" s="243" t="s">
        <v>314</v>
      </c>
      <c r="D32" s="243"/>
      <c r="E32" s="243"/>
      <c r="F32" s="310">
        <f>(F22+F24)/F22</f>
        <v>0.65965319614483608</v>
      </c>
      <c r="G32" s="310">
        <f t="shared" ref="G32:L32" si="5">(G22+G24)/G22</f>
        <v>0.65220956864469715</v>
      </c>
      <c r="H32" s="310">
        <f t="shared" si="5"/>
        <v>0.65573713642679154</v>
      </c>
      <c r="I32" s="310">
        <f t="shared" si="5"/>
        <v>0.65057144669382261</v>
      </c>
      <c r="J32" s="310">
        <f t="shared" si="5"/>
        <v>0.64081461859728706</v>
      </c>
      <c r="K32" s="310">
        <f t="shared" si="5"/>
        <v>0.6335317909358158</v>
      </c>
      <c r="L32" s="310">
        <f t="shared" si="5"/>
        <v>0.6165060401928566</v>
      </c>
    </row>
    <row r="33" spans="3:12" x14ac:dyDescent="0.25">
      <c r="C33" s="243" t="s">
        <v>315</v>
      </c>
      <c r="D33" s="243"/>
      <c r="E33" s="243"/>
      <c r="F33" s="310">
        <f>F26/F22</f>
        <v>-0.48678495936751087</v>
      </c>
      <c r="G33" s="356">
        <f t="shared" ref="G33:H33" si="6">G26/G22</f>
        <v>-0.48768199423456859</v>
      </c>
      <c r="H33" s="356">
        <f t="shared" si="6"/>
        <v>-0.50892785375543992</v>
      </c>
      <c r="I33" s="310">
        <f>I26/I22</f>
        <v>-0.53235546123719746</v>
      </c>
      <c r="J33" s="356">
        <f>J26/J22</f>
        <v>-0.49305887869163717</v>
      </c>
      <c r="K33" s="310">
        <f t="shared" ref="K33:L33" si="7">K26/K22</f>
        <v>-0.35066822771599121</v>
      </c>
      <c r="L33" s="310">
        <f t="shared" si="7"/>
        <v>-0.40443947298449578</v>
      </c>
    </row>
    <row r="34" spans="3:12" x14ac:dyDescent="0.25">
      <c r="C34" s="243" t="s">
        <v>316</v>
      </c>
      <c r="D34" s="243"/>
      <c r="E34" s="243"/>
      <c r="F34" s="357">
        <f>F31/F22</f>
        <v>2.0121201284992726E-2</v>
      </c>
      <c r="G34" s="358">
        <f t="shared" ref="G34:H34" si="8">G31/G22</f>
        <v>2.6232135746758558E-2</v>
      </c>
      <c r="H34" s="359">
        <f t="shared" si="8"/>
        <v>1.3370996819272681E-2</v>
      </c>
      <c r="I34" s="357">
        <f>I31/I22</f>
        <v>-2.335588803493506E-2</v>
      </c>
      <c r="J34" s="359">
        <f>J31/J22</f>
        <v>-1.1724627388465097E-2</v>
      </c>
      <c r="K34" s="310">
        <f t="shared" ref="K34:L34" si="9">K31/K22</f>
        <v>8.8381349856220703E-2</v>
      </c>
      <c r="L34" s="310">
        <f t="shared" si="9"/>
        <v>1.5693826468396229E-2</v>
      </c>
    </row>
    <row r="35" spans="3:12" x14ac:dyDescent="0.25">
      <c r="C35" s="243"/>
      <c r="D35" s="243"/>
      <c r="E35" s="243"/>
      <c r="F35" s="360"/>
      <c r="G35" s="361"/>
      <c r="H35" s="361"/>
      <c r="I35" s="257"/>
      <c r="J35" s="361"/>
      <c r="K35" s="257"/>
      <c r="L35" s="257"/>
    </row>
    <row r="36" spans="3:12" x14ac:dyDescent="0.25">
      <c r="C36" s="243"/>
      <c r="D36" s="243"/>
      <c r="E36" s="243"/>
      <c r="F36" s="360"/>
      <c r="G36" s="361"/>
      <c r="H36" s="361"/>
      <c r="I36" s="257"/>
      <c r="J36" s="361"/>
      <c r="K36" s="257" t="s">
        <v>304</v>
      </c>
      <c r="L36" s="257"/>
    </row>
    <row r="38" spans="3:12" x14ac:dyDescent="0.25">
      <c r="F38" s="362">
        <f>F18-F31</f>
        <v>0.8271317633043509</v>
      </c>
    </row>
  </sheetData>
  <pageMargins left="0.7" right="0.7" top="0.75" bottom="0.75" header="0.3" footer="0.3"/>
  <pageSetup paperSize="9" scale="73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A6E6-8CF0-CC47-B4D8-107A7A2D8118}">
  <sheetPr codeName="Sheet8">
    <tabColor rgb="FFFFC000"/>
    <pageSetUpPr fitToPage="1"/>
  </sheetPr>
  <dimension ref="A1:N38"/>
  <sheetViews>
    <sheetView topLeftCell="A18" zoomScaleNormal="100" workbookViewId="0">
      <selection activeCell="N21" sqref="N21"/>
    </sheetView>
  </sheetViews>
  <sheetFormatPr defaultRowHeight="15.75" x14ac:dyDescent="0.25"/>
  <cols>
    <col min="1" max="1" width="49" bestFit="1" customWidth="1"/>
    <col min="2" max="7" width="7.375" bestFit="1" customWidth="1"/>
    <col min="8" max="8" width="7.875" bestFit="1" customWidth="1"/>
    <col min="9" max="13" width="7.375" bestFit="1" customWidth="1"/>
    <col min="14" max="14" width="8.12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53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231" t="s">
        <v>206</v>
      </c>
      <c r="B11" s="232">
        <v>11</v>
      </c>
      <c r="C11" s="232">
        <v>11</v>
      </c>
      <c r="D11" s="232">
        <v>11</v>
      </c>
      <c r="E11" s="232">
        <v>11</v>
      </c>
      <c r="F11" s="232">
        <v>11</v>
      </c>
      <c r="G11" s="232">
        <v>11</v>
      </c>
      <c r="H11" s="232">
        <v>11</v>
      </c>
      <c r="I11" s="232">
        <v>11</v>
      </c>
      <c r="J11" s="232">
        <v>11</v>
      </c>
      <c r="K11" s="232">
        <v>11</v>
      </c>
      <c r="L11" s="232">
        <v>11</v>
      </c>
      <c r="M11" s="232">
        <v>11</v>
      </c>
      <c r="N11" s="232">
        <f t="shared" ref="N11:N22" si="1">SUM(B11:M11)</f>
        <v>132</v>
      </c>
    </row>
    <row r="12" spans="1:14" x14ac:dyDescent="0.25">
      <c r="A12" s="231" t="s">
        <v>207</v>
      </c>
      <c r="B12" s="232">
        <v>20</v>
      </c>
      <c r="C12" s="232">
        <v>20</v>
      </c>
      <c r="D12" s="232">
        <v>20</v>
      </c>
      <c r="E12" s="232">
        <v>20</v>
      </c>
      <c r="F12" s="232">
        <v>20</v>
      </c>
      <c r="G12" s="232">
        <v>20</v>
      </c>
      <c r="H12" s="232">
        <v>20</v>
      </c>
      <c r="I12" s="232">
        <v>20</v>
      </c>
      <c r="J12" s="232">
        <v>20</v>
      </c>
      <c r="K12" s="232">
        <v>20</v>
      </c>
      <c r="L12" s="232">
        <v>20</v>
      </c>
      <c r="M12" s="232">
        <v>20</v>
      </c>
      <c r="N12" s="232">
        <f t="shared" si="1"/>
        <v>240</v>
      </c>
    </row>
    <row r="13" spans="1:14" x14ac:dyDescent="0.25">
      <c r="A13" s="164" t="s">
        <v>317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f t="shared" si="1"/>
        <v>0</v>
      </c>
    </row>
    <row r="14" spans="1:14" x14ac:dyDescent="0.25">
      <c r="A14" s="164" t="s">
        <v>318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2000</v>
      </c>
      <c r="H14" s="165">
        <v>2000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1"/>
        <v>4000</v>
      </c>
    </row>
    <row r="15" spans="1:14" x14ac:dyDescent="0.25">
      <c r="A15" s="231" t="s">
        <v>208</v>
      </c>
      <c r="B15" s="232">
        <v>25</v>
      </c>
      <c r="C15" s="232">
        <v>25</v>
      </c>
      <c r="D15" s="232">
        <v>25</v>
      </c>
      <c r="E15" s="232">
        <v>25</v>
      </c>
      <c r="F15" s="232">
        <v>25</v>
      </c>
      <c r="G15" s="232">
        <v>25</v>
      </c>
      <c r="H15" s="232">
        <v>25</v>
      </c>
      <c r="I15" s="232">
        <v>25</v>
      </c>
      <c r="J15" s="232">
        <v>25</v>
      </c>
      <c r="K15" s="232">
        <v>25</v>
      </c>
      <c r="L15" s="232">
        <v>25</v>
      </c>
      <c r="M15" s="232">
        <v>25</v>
      </c>
      <c r="N15" s="232">
        <f t="shared" si="1"/>
        <v>300</v>
      </c>
    </row>
    <row r="16" spans="1:14" x14ac:dyDescent="0.25">
      <c r="A16" s="164" t="s">
        <v>257</v>
      </c>
      <c r="B16" s="165">
        <v>500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f t="shared" si="1"/>
        <v>500</v>
      </c>
    </row>
    <row r="17" spans="1:14" x14ac:dyDescent="0.25">
      <c r="A17" s="164" t="s">
        <v>258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f t="shared" si="1"/>
        <v>0</v>
      </c>
    </row>
    <row r="18" spans="1:14" x14ac:dyDescent="0.25">
      <c r="A18" s="164" t="s">
        <v>319</v>
      </c>
      <c r="B18" s="165">
        <v>0</v>
      </c>
      <c r="C18" s="165">
        <v>0</v>
      </c>
      <c r="D18" s="165">
        <v>1000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f t="shared" si="1"/>
        <v>1000</v>
      </c>
    </row>
    <row r="19" spans="1:14" x14ac:dyDescent="0.25">
      <c r="A19" s="164" t="s">
        <v>260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f t="shared" si="1"/>
        <v>0</v>
      </c>
    </row>
    <row r="20" spans="1:14" x14ac:dyDescent="0.25">
      <c r="A20" s="272" t="s">
        <v>263</v>
      </c>
      <c r="B20" s="232">
        <v>9</v>
      </c>
      <c r="C20" s="232">
        <v>9</v>
      </c>
      <c r="D20" s="232">
        <v>9</v>
      </c>
      <c r="E20" s="232">
        <v>9</v>
      </c>
      <c r="F20" s="232">
        <v>9</v>
      </c>
      <c r="G20" s="232">
        <v>9</v>
      </c>
      <c r="H20" s="232">
        <v>9</v>
      </c>
      <c r="I20" s="232">
        <v>9</v>
      </c>
      <c r="J20" s="232">
        <v>9</v>
      </c>
      <c r="K20" s="232">
        <v>9</v>
      </c>
      <c r="L20" s="232">
        <v>9</v>
      </c>
      <c r="M20" s="232">
        <v>9</v>
      </c>
      <c r="N20" s="232">
        <f t="shared" si="1"/>
        <v>108</v>
      </c>
    </row>
    <row r="21" spans="1:14" x14ac:dyDescent="0.25">
      <c r="A21" s="164" t="s">
        <v>320</v>
      </c>
      <c r="B21" s="165">
        <v>2000</v>
      </c>
      <c r="C21" s="165">
        <v>4000</v>
      </c>
      <c r="D21" s="165">
        <v>2000</v>
      </c>
      <c r="E21" s="165">
        <v>2000</v>
      </c>
      <c r="F21" s="165">
        <v>2000</v>
      </c>
      <c r="G21" s="165">
        <v>2000</v>
      </c>
      <c r="H21" s="165">
        <v>2000</v>
      </c>
      <c r="I21" s="165">
        <v>2000</v>
      </c>
      <c r="J21" s="165">
        <v>2000</v>
      </c>
      <c r="K21" s="165">
        <v>2000</v>
      </c>
      <c r="L21" s="165">
        <v>0</v>
      </c>
      <c r="M21" s="165">
        <v>0</v>
      </c>
      <c r="N21" s="165">
        <f t="shared" si="1"/>
        <v>22000</v>
      </c>
    </row>
    <row r="22" spans="1:14" x14ac:dyDescent="0.25">
      <c r="A22" s="164" t="s">
        <v>268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f t="shared" si="1"/>
        <v>0</v>
      </c>
    </row>
    <row r="23" spans="1:14" x14ac:dyDescent="0.25">
      <c r="A23" s="166" t="s">
        <v>190</v>
      </c>
      <c r="B23" s="167">
        <f t="shared" ref="B23:N23" si="2">SUM(B11:B22)</f>
        <v>2565</v>
      </c>
      <c r="C23" s="167">
        <f t="shared" si="2"/>
        <v>4065</v>
      </c>
      <c r="D23" s="167">
        <f t="shared" si="2"/>
        <v>3065</v>
      </c>
      <c r="E23" s="167">
        <f t="shared" si="2"/>
        <v>2065</v>
      </c>
      <c r="F23" s="167">
        <f t="shared" si="2"/>
        <v>2065</v>
      </c>
      <c r="G23" s="167">
        <f t="shared" si="2"/>
        <v>4065</v>
      </c>
      <c r="H23" s="167">
        <f t="shared" si="2"/>
        <v>4065</v>
      </c>
      <c r="I23" s="167">
        <f t="shared" si="2"/>
        <v>2065</v>
      </c>
      <c r="J23" s="167">
        <f t="shared" si="2"/>
        <v>2065</v>
      </c>
      <c r="K23" s="167">
        <f t="shared" si="2"/>
        <v>2065</v>
      </c>
      <c r="L23" s="167">
        <f t="shared" si="2"/>
        <v>65</v>
      </c>
      <c r="M23" s="167">
        <f t="shared" si="2"/>
        <v>65</v>
      </c>
      <c r="N23" s="167">
        <f t="shared" si="2"/>
        <v>28280</v>
      </c>
    </row>
    <row r="24" spans="1:14" x14ac:dyDescent="0.25">
      <c r="A24" s="163" t="s">
        <v>216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x14ac:dyDescent="0.25">
      <c r="A25" s="164" t="s">
        <v>217</v>
      </c>
      <c r="B25" s="230">
        <v>3259.4485214007782</v>
      </c>
      <c r="C25" s="230">
        <v>3430.9984435797669</v>
      </c>
      <c r="D25" s="230">
        <v>3602.5483657587552</v>
      </c>
      <c r="E25" s="230">
        <v>3774.0982879377434</v>
      </c>
      <c r="F25" s="230">
        <v>3945.6482101167317</v>
      </c>
      <c r="G25" s="230">
        <v>3430.9984435797669</v>
      </c>
      <c r="H25" s="230">
        <v>3945.6482101167317</v>
      </c>
      <c r="I25" s="230">
        <v>3774.0982879377434</v>
      </c>
      <c r="J25" s="230">
        <v>3602.5483657587552</v>
      </c>
      <c r="K25" s="230">
        <v>3945.6482101167317</v>
      </c>
      <c r="L25" s="230">
        <v>3602.5483657587552</v>
      </c>
      <c r="M25" s="230">
        <v>3774.0982879377434</v>
      </c>
      <c r="N25" s="230">
        <f>SUM(B25:M25)</f>
        <v>44088.33</v>
      </c>
    </row>
    <row r="26" spans="1:14" x14ac:dyDescent="0.25">
      <c r="A26" s="164" t="s">
        <v>218</v>
      </c>
      <c r="B26" s="230">
        <v>418.08603982656143</v>
      </c>
      <c r="C26" s="230">
        <v>440.09056823848573</v>
      </c>
      <c r="D26" s="230">
        <v>462.09509665041003</v>
      </c>
      <c r="E26" s="230">
        <v>484.09962506233433</v>
      </c>
      <c r="F26" s="230">
        <v>506.10415347425862</v>
      </c>
      <c r="G26" s="230">
        <v>440.09056823848573</v>
      </c>
      <c r="H26" s="230">
        <v>506.10415347425862</v>
      </c>
      <c r="I26" s="230">
        <v>484.09962506233433</v>
      </c>
      <c r="J26" s="230">
        <v>462.09509665041003</v>
      </c>
      <c r="K26" s="230">
        <v>506.10415347425862</v>
      </c>
      <c r="L26" s="230">
        <v>462.09509665041003</v>
      </c>
      <c r="M26" s="230">
        <v>484.09962506233433</v>
      </c>
      <c r="N26" s="230">
        <f>SUM(B26:M26)</f>
        <v>5655.1638018645408</v>
      </c>
    </row>
    <row r="27" spans="1:14" x14ac:dyDescent="0.25">
      <c r="A27" s="164" t="s">
        <v>219</v>
      </c>
      <c r="B27" s="230">
        <v>34.537542420455075</v>
      </c>
      <c r="C27" s="230">
        <v>36.355307811005346</v>
      </c>
      <c r="D27" s="230">
        <v>38.17307320155561</v>
      </c>
      <c r="E27" s="230">
        <v>39.990838592105881</v>
      </c>
      <c r="F27" s="230">
        <v>41.808603982656145</v>
      </c>
      <c r="G27" s="230">
        <v>36.355307811005346</v>
      </c>
      <c r="H27" s="230">
        <v>41.808603982656145</v>
      </c>
      <c r="I27" s="230">
        <v>39.990838592105881</v>
      </c>
      <c r="J27" s="230">
        <v>38.17307320155561</v>
      </c>
      <c r="K27" s="230">
        <v>41.808603982656145</v>
      </c>
      <c r="L27" s="230">
        <v>38.17307320155561</v>
      </c>
      <c r="M27" s="230">
        <v>39.990838592105881</v>
      </c>
      <c r="N27" s="230">
        <f>SUM(B27:M27)</f>
        <v>467.16570537141871</v>
      </c>
    </row>
    <row r="28" spans="1:14" x14ac:dyDescent="0.25">
      <c r="A28" s="164" t="s">
        <v>220</v>
      </c>
      <c r="B28" s="230">
        <v>294.59604666473643</v>
      </c>
      <c r="C28" s="230">
        <v>310.10110175235417</v>
      </c>
      <c r="D28" s="230">
        <v>325.60615683997185</v>
      </c>
      <c r="E28" s="230">
        <v>341.11121192758958</v>
      </c>
      <c r="F28" s="230">
        <v>356.61626701520726</v>
      </c>
      <c r="G28" s="230">
        <v>310.10110175235417</v>
      </c>
      <c r="H28" s="230">
        <v>356.61626701520726</v>
      </c>
      <c r="I28" s="230">
        <v>341.11121192758958</v>
      </c>
      <c r="J28" s="230">
        <v>325.60615683997185</v>
      </c>
      <c r="K28" s="230">
        <v>356.61626701520726</v>
      </c>
      <c r="L28" s="230">
        <v>325.60615683997185</v>
      </c>
      <c r="M28" s="230">
        <v>341.11121192758958</v>
      </c>
      <c r="N28" s="230">
        <f>SUM(B28:M28)</f>
        <v>3984.7991575177507</v>
      </c>
    </row>
    <row r="29" spans="1:14" x14ac:dyDescent="0.25">
      <c r="A29" s="164" t="s">
        <v>221</v>
      </c>
      <c r="B29" s="230">
        <v>81.48621303501946</v>
      </c>
      <c r="C29" s="230">
        <v>85.77496108949417</v>
      </c>
      <c r="D29" s="230">
        <v>90.063709143968879</v>
      </c>
      <c r="E29" s="230">
        <v>94.352457198443588</v>
      </c>
      <c r="F29" s="230">
        <v>98.641205252918297</v>
      </c>
      <c r="G29" s="230">
        <v>85.77496108949417</v>
      </c>
      <c r="H29" s="230">
        <v>98.641205252918297</v>
      </c>
      <c r="I29" s="230">
        <v>94.352457198443588</v>
      </c>
      <c r="J29" s="230">
        <v>90.063709143968879</v>
      </c>
      <c r="K29" s="230">
        <v>98.641205252918297</v>
      </c>
      <c r="L29" s="230">
        <v>90.063709143968879</v>
      </c>
      <c r="M29" s="230">
        <v>94.352457198443588</v>
      </c>
      <c r="N29" s="230">
        <f>SUM(B29:M29)</f>
        <v>1102.2082500000001</v>
      </c>
    </row>
    <row r="30" spans="1:14" x14ac:dyDescent="0.25">
      <c r="A30" s="166" t="s">
        <v>222</v>
      </c>
      <c r="B30" s="282">
        <f t="shared" ref="B30:N30" si="3">SUM(B25:B29)</f>
        <v>4088.1543633475503</v>
      </c>
      <c r="C30" s="282">
        <f t="shared" si="3"/>
        <v>4303.3203824711063</v>
      </c>
      <c r="D30" s="282">
        <f t="shared" si="3"/>
        <v>4518.4864015946614</v>
      </c>
      <c r="E30" s="282">
        <f t="shared" si="3"/>
        <v>4733.6524207182174</v>
      </c>
      <c r="F30" s="282">
        <f t="shared" si="3"/>
        <v>4948.8184398417716</v>
      </c>
      <c r="G30" s="282">
        <f t="shared" si="3"/>
        <v>4303.3203824711063</v>
      </c>
      <c r="H30" s="282">
        <f t="shared" si="3"/>
        <v>4948.8184398417716</v>
      </c>
      <c r="I30" s="282">
        <f t="shared" si="3"/>
        <v>4733.6524207182174</v>
      </c>
      <c r="J30" s="282">
        <f t="shared" si="3"/>
        <v>4518.4864015946614</v>
      </c>
      <c r="K30" s="282">
        <f t="shared" si="3"/>
        <v>4948.8184398417716</v>
      </c>
      <c r="L30" s="282">
        <f t="shared" si="3"/>
        <v>4518.4864015946614</v>
      </c>
      <c r="M30" s="282">
        <f t="shared" si="3"/>
        <v>4733.6524207182174</v>
      </c>
      <c r="N30" s="282">
        <f t="shared" si="3"/>
        <v>55297.66691475371</v>
      </c>
    </row>
    <row r="31" spans="1:14" x14ac:dyDescent="0.25">
      <c r="A31" s="168" t="s">
        <v>191</v>
      </c>
      <c r="B31" s="167">
        <f t="shared" ref="B31:N31" si="4">SUM(B23,B30)</f>
        <v>6653.1543633475503</v>
      </c>
      <c r="C31" s="167">
        <f t="shared" si="4"/>
        <v>8368.3203824711054</v>
      </c>
      <c r="D31" s="167">
        <f t="shared" si="4"/>
        <v>7583.4864015946614</v>
      </c>
      <c r="E31" s="167">
        <f t="shared" si="4"/>
        <v>6798.6524207182174</v>
      </c>
      <c r="F31" s="167">
        <f t="shared" si="4"/>
        <v>7013.8184398417716</v>
      </c>
      <c r="G31" s="167">
        <f t="shared" si="4"/>
        <v>8368.3203824711054</v>
      </c>
      <c r="H31" s="167">
        <f t="shared" si="4"/>
        <v>9013.8184398417725</v>
      </c>
      <c r="I31" s="167">
        <f t="shared" si="4"/>
        <v>6798.6524207182174</v>
      </c>
      <c r="J31" s="167">
        <f t="shared" si="4"/>
        <v>6583.4864015946614</v>
      </c>
      <c r="K31" s="167">
        <f t="shared" si="4"/>
        <v>7013.8184398417716</v>
      </c>
      <c r="L31" s="167">
        <f t="shared" si="4"/>
        <v>4583.4864015946614</v>
      </c>
      <c r="M31" s="167">
        <f t="shared" si="4"/>
        <v>4798.6524207182174</v>
      </c>
      <c r="N31" s="167">
        <f t="shared" si="4"/>
        <v>83577.666914753703</v>
      </c>
    </row>
    <row r="32" spans="1:14" x14ac:dyDescent="0.25">
      <c r="A32" s="159" t="s">
        <v>192</v>
      </c>
      <c r="B32" s="160">
        <f t="shared" ref="B32:N32" si="5">B8-B31</f>
        <v>-6653.1543633475503</v>
      </c>
      <c r="C32" s="160">
        <f t="shared" si="5"/>
        <v>-8368.3203824711054</v>
      </c>
      <c r="D32" s="160">
        <f t="shared" si="5"/>
        <v>-7583.4864015946614</v>
      </c>
      <c r="E32" s="160">
        <f t="shared" si="5"/>
        <v>-6798.6524207182174</v>
      </c>
      <c r="F32" s="160">
        <f t="shared" si="5"/>
        <v>-7013.8184398417716</v>
      </c>
      <c r="G32" s="160">
        <f t="shared" si="5"/>
        <v>-8368.3203824711054</v>
      </c>
      <c r="H32" s="160">
        <f t="shared" si="5"/>
        <v>-9013.8184398417725</v>
      </c>
      <c r="I32" s="160">
        <f t="shared" si="5"/>
        <v>-6798.6524207182174</v>
      </c>
      <c r="J32" s="160">
        <f t="shared" si="5"/>
        <v>-6583.4864015946614</v>
      </c>
      <c r="K32" s="160">
        <f t="shared" si="5"/>
        <v>-7013.8184398417716</v>
      </c>
      <c r="L32" s="160">
        <f t="shared" si="5"/>
        <v>-4583.4864015946614</v>
      </c>
      <c r="M32" s="160">
        <f t="shared" si="5"/>
        <v>-4798.6524207182174</v>
      </c>
      <c r="N32" s="160">
        <f t="shared" si="5"/>
        <v>-83577.666914753703</v>
      </c>
    </row>
    <row r="33" spans="1:14" x14ac:dyDescent="0.25">
      <c r="A33" s="161" t="s">
        <v>193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</row>
    <row r="34" spans="1:14" x14ac:dyDescent="0.25">
      <c r="A34" s="163" t="s">
        <v>196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 x14ac:dyDescent="0.25">
      <c r="A35" s="164" t="s">
        <v>321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f>SUM(B35:M35)</f>
        <v>0</v>
      </c>
    </row>
    <row r="36" spans="1:14" x14ac:dyDescent="0.25">
      <c r="A36" s="166" t="s">
        <v>197</v>
      </c>
      <c r="B36" s="167">
        <f t="shared" ref="B36:B37" si="6">SUM(B35)</f>
        <v>0</v>
      </c>
      <c r="C36" s="167">
        <f t="shared" ref="C36:N37" si="7">SUM(C35)</f>
        <v>0</v>
      </c>
      <c r="D36" s="167">
        <f t="shared" si="7"/>
        <v>0</v>
      </c>
      <c r="E36" s="167">
        <f t="shared" si="7"/>
        <v>0</v>
      </c>
      <c r="F36" s="167">
        <f t="shared" si="7"/>
        <v>0</v>
      </c>
      <c r="G36" s="167">
        <f t="shared" si="7"/>
        <v>0</v>
      </c>
      <c r="H36" s="167">
        <f t="shared" si="7"/>
        <v>0</v>
      </c>
      <c r="I36" s="167">
        <f t="shared" si="7"/>
        <v>0</v>
      </c>
      <c r="J36" s="167">
        <f t="shared" si="7"/>
        <v>0</v>
      </c>
      <c r="K36" s="167">
        <f t="shared" si="7"/>
        <v>0</v>
      </c>
      <c r="L36" s="167">
        <f t="shared" si="7"/>
        <v>0</v>
      </c>
      <c r="M36" s="167">
        <f t="shared" si="7"/>
        <v>0</v>
      </c>
      <c r="N36" s="167">
        <f t="shared" si="7"/>
        <v>0</v>
      </c>
    </row>
    <row r="37" spans="1:14" x14ac:dyDescent="0.25">
      <c r="A37" s="168" t="s">
        <v>200</v>
      </c>
      <c r="B37" s="167">
        <f t="shared" si="6"/>
        <v>0</v>
      </c>
      <c r="C37" s="167">
        <f t="shared" si="7"/>
        <v>0</v>
      </c>
      <c r="D37" s="167">
        <f t="shared" si="7"/>
        <v>0</v>
      </c>
      <c r="E37" s="167">
        <f t="shared" si="7"/>
        <v>0</v>
      </c>
      <c r="F37" s="167">
        <f t="shared" si="7"/>
        <v>0</v>
      </c>
      <c r="G37" s="167">
        <f t="shared" si="7"/>
        <v>0</v>
      </c>
      <c r="H37" s="167">
        <f t="shared" si="7"/>
        <v>0</v>
      </c>
      <c r="I37" s="167">
        <f t="shared" si="7"/>
        <v>0</v>
      </c>
      <c r="J37" s="167">
        <f t="shared" si="7"/>
        <v>0</v>
      </c>
      <c r="K37" s="167">
        <f t="shared" si="7"/>
        <v>0</v>
      </c>
      <c r="L37" s="167">
        <f t="shared" si="7"/>
        <v>0</v>
      </c>
      <c r="M37" s="167">
        <f t="shared" si="7"/>
        <v>0</v>
      </c>
      <c r="N37" s="167">
        <f t="shared" si="7"/>
        <v>0</v>
      </c>
    </row>
    <row r="38" spans="1:14" x14ac:dyDescent="0.25">
      <c r="A38" s="159" t="s">
        <v>29</v>
      </c>
      <c r="B38" s="160">
        <f t="shared" ref="B38:N38" si="8">B32+B37+0</f>
        <v>-6653.1543633475503</v>
      </c>
      <c r="C38" s="160">
        <f t="shared" si="8"/>
        <v>-8368.3203824711054</v>
      </c>
      <c r="D38" s="160">
        <f t="shared" si="8"/>
        <v>-7583.4864015946614</v>
      </c>
      <c r="E38" s="160">
        <f t="shared" si="8"/>
        <v>-6798.6524207182174</v>
      </c>
      <c r="F38" s="160">
        <f t="shared" si="8"/>
        <v>-7013.8184398417716</v>
      </c>
      <c r="G38" s="160">
        <f t="shared" si="8"/>
        <v>-8368.3203824711054</v>
      </c>
      <c r="H38" s="160">
        <f t="shared" si="8"/>
        <v>-9013.8184398417725</v>
      </c>
      <c r="I38" s="160">
        <f t="shared" si="8"/>
        <v>-6798.6524207182174</v>
      </c>
      <c r="J38" s="160">
        <f t="shared" si="8"/>
        <v>-6583.4864015946614</v>
      </c>
      <c r="K38" s="160">
        <f t="shared" si="8"/>
        <v>-7013.8184398417716</v>
      </c>
      <c r="L38" s="160">
        <f t="shared" si="8"/>
        <v>-4583.4864015946614</v>
      </c>
      <c r="M38" s="160">
        <f t="shared" si="8"/>
        <v>-4798.6524207182174</v>
      </c>
      <c r="N38" s="160">
        <f t="shared" si="8"/>
        <v>-83577.666914753703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F369-CB76-1A4A-9380-D732DD71A0B6}">
  <sheetPr codeName="Sheet9">
    <tabColor rgb="FFFFC000"/>
    <pageSetUpPr fitToPage="1"/>
  </sheetPr>
  <dimension ref="A1:Y62"/>
  <sheetViews>
    <sheetView topLeftCell="A35" zoomScale="107" workbookViewId="0">
      <selection activeCell="A54" sqref="A54"/>
    </sheetView>
  </sheetViews>
  <sheetFormatPr defaultColWidth="6.5" defaultRowHeight="15.75" x14ac:dyDescent="0.25"/>
  <cols>
    <col min="1" max="1" width="46.125" bestFit="1" customWidth="1"/>
    <col min="2" max="12" width="8" bestFit="1" customWidth="1"/>
    <col min="13" max="13" width="8.875" bestFit="1" customWidth="1"/>
    <col min="14" max="14" width="8.75" bestFit="1" customWidth="1"/>
    <col min="15" max="15" width="24.375" customWidth="1"/>
  </cols>
  <sheetData>
    <row r="1" spans="1:25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25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25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25" ht="18" x14ac:dyDescent="0.25">
      <c r="A4" s="372" t="s">
        <v>60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25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25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25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25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25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25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25" x14ac:dyDescent="0.25">
      <c r="A11" s="231" t="s">
        <v>322</v>
      </c>
      <c r="B11" s="232">
        <v>0</v>
      </c>
      <c r="C11" s="232">
        <v>2500</v>
      </c>
      <c r="D11" s="232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3000</v>
      </c>
      <c r="N11" s="232">
        <f>SUM(B11:M11)</f>
        <v>5500</v>
      </c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</row>
    <row r="12" spans="1:25" x14ac:dyDescent="0.25">
      <c r="A12" s="164" t="s">
        <v>323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ref="N12:N44" si="1">SUM(B12:M12)</f>
        <v>0</v>
      </c>
      <c r="O12" s="184"/>
    </row>
    <row r="13" spans="1:25" x14ac:dyDescent="0.25">
      <c r="A13" s="229" t="s">
        <v>324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9500</v>
      </c>
      <c r="N13" s="165">
        <f t="shared" si="1"/>
        <v>9500</v>
      </c>
      <c r="O13" s="184"/>
    </row>
    <row r="14" spans="1:25" x14ac:dyDescent="0.25">
      <c r="A14" s="231" t="s">
        <v>325</v>
      </c>
      <c r="B14" s="232">
        <v>1700</v>
      </c>
      <c r="C14" s="232">
        <v>1700</v>
      </c>
      <c r="D14" s="232">
        <v>1700</v>
      </c>
      <c r="E14" s="232">
        <v>1700</v>
      </c>
      <c r="F14" s="232">
        <v>1700</v>
      </c>
      <c r="G14" s="232">
        <v>1700</v>
      </c>
      <c r="H14" s="232">
        <v>1700</v>
      </c>
      <c r="I14" s="232">
        <v>1700</v>
      </c>
      <c r="J14" s="232">
        <v>1700</v>
      </c>
      <c r="K14" s="232">
        <v>1700</v>
      </c>
      <c r="L14" s="232">
        <v>1700</v>
      </c>
      <c r="M14" s="232">
        <v>1700</v>
      </c>
      <c r="N14" s="232">
        <f t="shared" si="1"/>
        <v>20400</v>
      </c>
      <c r="O14" s="184"/>
    </row>
    <row r="15" spans="1:25" x14ac:dyDescent="0.25">
      <c r="A15" s="272" t="s">
        <v>326</v>
      </c>
      <c r="B15" s="232">
        <v>1000</v>
      </c>
      <c r="C15" s="232">
        <v>0</v>
      </c>
      <c r="D15" s="232">
        <v>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f t="shared" si="1"/>
        <v>1000</v>
      </c>
      <c r="O15" s="184"/>
    </row>
    <row r="16" spans="1:25" x14ac:dyDescent="0.25">
      <c r="A16" s="164" t="s">
        <v>25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f t="shared" si="1"/>
        <v>0</v>
      </c>
    </row>
    <row r="17" spans="1:14" x14ac:dyDescent="0.25">
      <c r="A17" s="164" t="s">
        <v>327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4500</v>
      </c>
      <c r="N17" s="165">
        <f t="shared" si="1"/>
        <v>4500</v>
      </c>
    </row>
    <row r="18" spans="1:14" x14ac:dyDescent="0.25">
      <c r="A18" s="231" t="s">
        <v>206</v>
      </c>
      <c r="B18" s="232">
        <v>1700</v>
      </c>
      <c r="C18" s="232">
        <v>1700</v>
      </c>
      <c r="D18" s="232">
        <v>1700</v>
      </c>
      <c r="E18" s="232">
        <v>1700</v>
      </c>
      <c r="F18" s="232">
        <v>1700</v>
      </c>
      <c r="G18" s="232">
        <v>1700</v>
      </c>
      <c r="H18" s="232">
        <v>1700</v>
      </c>
      <c r="I18" s="232">
        <v>1700</v>
      </c>
      <c r="J18" s="232">
        <v>1700</v>
      </c>
      <c r="K18" s="232">
        <v>1700</v>
      </c>
      <c r="L18" s="232">
        <v>1700</v>
      </c>
      <c r="M18" s="232">
        <v>1700</v>
      </c>
      <c r="N18" s="232">
        <f t="shared" si="1"/>
        <v>20400</v>
      </c>
    </row>
    <row r="19" spans="1:14" x14ac:dyDescent="0.25">
      <c r="A19" s="164" t="s">
        <v>229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f t="shared" si="1"/>
        <v>0</v>
      </c>
    </row>
    <row r="20" spans="1:14" x14ac:dyDescent="0.25">
      <c r="A20" s="164" t="s">
        <v>207</v>
      </c>
      <c r="B20" s="165">
        <v>20</v>
      </c>
      <c r="C20" s="165">
        <v>20</v>
      </c>
      <c r="D20" s="165">
        <v>20</v>
      </c>
      <c r="E20" s="165">
        <v>20</v>
      </c>
      <c r="F20" s="165">
        <v>20</v>
      </c>
      <c r="G20" s="165">
        <v>20</v>
      </c>
      <c r="H20" s="165">
        <v>20</v>
      </c>
      <c r="I20" s="165">
        <v>20</v>
      </c>
      <c r="J20" s="165">
        <v>20</v>
      </c>
      <c r="K20" s="165">
        <v>20</v>
      </c>
      <c r="L20" s="165">
        <v>20</v>
      </c>
      <c r="M20" s="165">
        <v>20</v>
      </c>
      <c r="N20" s="165">
        <f t="shared" si="1"/>
        <v>240</v>
      </c>
    </row>
    <row r="21" spans="1:14" x14ac:dyDescent="0.25">
      <c r="A21" s="164" t="s">
        <v>317</v>
      </c>
      <c r="B21" s="165">
        <v>0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f t="shared" si="1"/>
        <v>0</v>
      </c>
    </row>
    <row r="22" spans="1:14" x14ac:dyDescent="0.25">
      <c r="A22" s="164" t="s">
        <v>318</v>
      </c>
      <c r="B22" s="165">
        <v>5000</v>
      </c>
      <c r="C22" s="165">
        <v>0</v>
      </c>
      <c r="D22" s="165">
        <v>0</v>
      </c>
      <c r="E22" s="165">
        <v>0</v>
      </c>
      <c r="F22" s="165">
        <v>0</v>
      </c>
      <c r="G22" s="165">
        <v>3000</v>
      </c>
      <c r="H22" s="165">
        <v>0</v>
      </c>
      <c r="I22" s="165">
        <v>0</v>
      </c>
      <c r="J22" s="165">
        <v>0</v>
      </c>
      <c r="K22" s="165">
        <v>0</v>
      </c>
      <c r="L22" s="165">
        <v>12000</v>
      </c>
      <c r="M22" s="165">
        <v>0</v>
      </c>
      <c r="N22" s="165">
        <f t="shared" si="1"/>
        <v>20000</v>
      </c>
    </row>
    <row r="23" spans="1:14" x14ac:dyDescent="0.25">
      <c r="A23" s="164" t="s">
        <v>64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65000</v>
      </c>
      <c r="N23" s="165">
        <f t="shared" si="1"/>
        <v>65000</v>
      </c>
    </row>
    <row r="24" spans="1:14" x14ac:dyDescent="0.25">
      <c r="A24" s="164" t="s">
        <v>208</v>
      </c>
      <c r="B24" s="165">
        <v>1500</v>
      </c>
      <c r="C24" s="165">
        <v>1500</v>
      </c>
      <c r="D24" s="165">
        <v>1500</v>
      </c>
      <c r="E24" s="165">
        <v>1500</v>
      </c>
      <c r="F24" s="165">
        <v>1500</v>
      </c>
      <c r="G24" s="165">
        <v>1500</v>
      </c>
      <c r="H24" s="165">
        <v>1500</v>
      </c>
      <c r="I24" s="165">
        <v>1500</v>
      </c>
      <c r="J24" s="165">
        <v>1500</v>
      </c>
      <c r="K24" s="165">
        <v>1500</v>
      </c>
      <c r="L24" s="165">
        <v>1500</v>
      </c>
      <c r="M24" s="165">
        <v>1500</v>
      </c>
      <c r="N24" s="165">
        <f t="shared" si="1"/>
        <v>18000</v>
      </c>
    </row>
    <row r="25" spans="1:14" x14ac:dyDescent="0.25">
      <c r="A25" s="164" t="s">
        <v>257</v>
      </c>
      <c r="B25" s="165">
        <v>50</v>
      </c>
      <c r="C25" s="165">
        <v>50</v>
      </c>
      <c r="D25" s="165">
        <v>50</v>
      </c>
      <c r="E25" s="165">
        <v>50</v>
      </c>
      <c r="F25" s="165">
        <v>50</v>
      </c>
      <c r="G25" s="165">
        <v>50</v>
      </c>
      <c r="H25" s="165">
        <v>50</v>
      </c>
      <c r="I25" s="165">
        <v>50</v>
      </c>
      <c r="J25" s="165">
        <v>50</v>
      </c>
      <c r="K25" s="165">
        <v>50</v>
      </c>
      <c r="L25" s="165">
        <v>50</v>
      </c>
      <c r="M25" s="165">
        <v>50</v>
      </c>
      <c r="N25" s="165">
        <f t="shared" si="1"/>
        <v>600</v>
      </c>
    </row>
    <row r="26" spans="1:14" x14ac:dyDescent="0.25">
      <c r="A26" s="164" t="s">
        <v>328</v>
      </c>
      <c r="B26" s="165">
        <v>9230</v>
      </c>
      <c r="C26" s="165">
        <v>9230</v>
      </c>
      <c r="D26" s="165">
        <v>9230</v>
      </c>
      <c r="E26" s="165">
        <v>9230</v>
      </c>
      <c r="F26" s="165">
        <v>9230</v>
      </c>
      <c r="G26" s="165">
        <v>9230</v>
      </c>
      <c r="H26" s="165">
        <v>9230</v>
      </c>
      <c r="I26" s="165">
        <v>9230</v>
      </c>
      <c r="J26" s="165">
        <v>9230</v>
      </c>
      <c r="K26" s="165">
        <v>9230</v>
      </c>
      <c r="L26" s="165">
        <v>9230</v>
      </c>
      <c r="M26" s="165">
        <v>9230</v>
      </c>
      <c r="N26" s="165">
        <f t="shared" si="1"/>
        <v>110760</v>
      </c>
    </row>
    <row r="27" spans="1:14" x14ac:dyDescent="0.25">
      <c r="A27" s="164" t="s">
        <v>258</v>
      </c>
      <c r="B27" s="165">
        <v>400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f t="shared" si="1"/>
        <v>400</v>
      </c>
    </row>
    <row r="28" spans="1:14" x14ac:dyDescent="0.25">
      <c r="A28" s="164" t="s">
        <v>209</v>
      </c>
      <c r="B28" s="165">
        <v>20000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f t="shared" si="1"/>
        <v>20000</v>
      </c>
    </row>
    <row r="29" spans="1:14" x14ac:dyDescent="0.25">
      <c r="A29" s="164" t="s">
        <v>231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f t="shared" si="1"/>
        <v>0</v>
      </c>
    </row>
    <row r="30" spans="1:14" x14ac:dyDescent="0.25">
      <c r="A30" s="164" t="s">
        <v>319</v>
      </c>
      <c r="B30" s="165">
        <v>60</v>
      </c>
      <c r="C30" s="165">
        <v>60</v>
      </c>
      <c r="D30" s="165">
        <v>1200</v>
      </c>
      <c r="E30" s="165">
        <v>60</v>
      </c>
      <c r="F30" s="165">
        <v>60</v>
      </c>
      <c r="G30" s="165">
        <v>60</v>
      </c>
      <c r="H30" s="165">
        <v>60</v>
      </c>
      <c r="I30" s="165">
        <v>60</v>
      </c>
      <c r="J30" s="165">
        <v>60</v>
      </c>
      <c r="K30" s="165">
        <v>60</v>
      </c>
      <c r="L30" s="165">
        <v>60</v>
      </c>
      <c r="M30" s="165">
        <v>60</v>
      </c>
      <c r="N30" s="165">
        <f t="shared" si="1"/>
        <v>1860</v>
      </c>
    </row>
    <row r="31" spans="1:14" x14ac:dyDescent="0.25">
      <c r="A31" s="164" t="s">
        <v>329</v>
      </c>
      <c r="B31" s="165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f t="shared" si="1"/>
        <v>0</v>
      </c>
    </row>
    <row r="32" spans="1:14" x14ac:dyDescent="0.25">
      <c r="A32" s="164" t="s">
        <v>260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f t="shared" si="1"/>
        <v>0</v>
      </c>
    </row>
    <row r="33" spans="1:15" x14ac:dyDescent="0.25">
      <c r="A33" s="164" t="s">
        <v>263</v>
      </c>
      <c r="B33" s="165">
        <v>61</v>
      </c>
      <c r="C33" s="165">
        <v>61</v>
      </c>
      <c r="D33" s="165">
        <v>61</v>
      </c>
      <c r="E33" s="165">
        <v>61</v>
      </c>
      <c r="F33" s="165">
        <v>61</v>
      </c>
      <c r="G33" s="165">
        <v>61</v>
      </c>
      <c r="H33" s="165">
        <v>61</v>
      </c>
      <c r="I33" s="165">
        <v>61</v>
      </c>
      <c r="J33" s="165">
        <v>61</v>
      </c>
      <c r="K33" s="165">
        <v>61</v>
      </c>
      <c r="L33" s="165">
        <v>61</v>
      </c>
      <c r="M33" s="165">
        <v>61</v>
      </c>
      <c r="N33" s="165">
        <f t="shared" si="1"/>
        <v>732</v>
      </c>
    </row>
    <row r="34" spans="1:15" x14ac:dyDescent="0.25">
      <c r="A34" s="164" t="s">
        <v>232</v>
      </c>
      <c r="B34" s="165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50</v>
      </c>
      <c r="K34" s="165">
        <v>0</v>
      </c>
      <c r="L34" s="165">
        <v>0</v>
      </c>
      <c r="M34" s="165">
        <v>0</v>
      </c>
      <c r="N34" s="165">
        <f t="shared" si="1"/>
        <v>50</v>
      </c>
    </row>
    <row r="35" spans="1:15" x14ac:dyDescent="0.25">
      <c r="A35" s="164" t="s">
        <v>320</v>
      </c>
      <c r="B35" s="165">
        <v>17200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f>SUM(B35:M35)</f>
        <v>17200</v>
      </c>
    </row>
    <row r="36" spans="1:15" x14ac:dyDescent="0.25">
      <c r="A36" s="164" t="s">
        <v>330</v>
      </c>
      <c r="B36" s="165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22000</v>
      </c>
      <c r="M36" s="165">
        <v>0</v>
      </c>
      <c r="N36" s="165">
        <f t="shared" si="1"/>
        <v>22000</v>
      </c>
    </row>
    <row r="37" spans="1:15" x14ac:dyDescent="0.25">
      <c r="A37" s="164" t="s">
        <v>331</v>
      </c>
      <c r="B37" s="165">
        <v>0</v>
      </c>
      <c r="C37" s="165">
        <v>0</v>
      </c>
      <c r="D37" s="165">
        <v>0</v>
      </c>
      <c r="E37" s="165">
        <v>0</v>
      </c>
      <c r="F37" s="165">
        <v>6000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f t="shared" si="1"/>
        <v>6000</v>
      </c>
      <c r="O37" s="184"/>
    </row>
    <row r="38" spans="1:15" x14ac:dyDescent="0.25">
      <c r="A38" s="164" t="s">
        <v>332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f t="shared" si="1"/>
        <v>0</v>
      </c>
    </row>
    <row r="39" spans="1:15" x14ac:dyDescent="0.25">
      <c r="A39" s="164" t="s">
        <v>267</v>
      </c>
      <c r="B39" s="165">
        <v>40</v>
      </c>
      <c r="C39" s="165">
        <v>40</v>
      </c>
      <c r="D39" s="165">
        <v>40</v>
      </c>
      <c r="E39" s="165">
        <v>40</v>
      </c>
      <c r="F39" s="165">
        <v>80</v>
      </c>
      <c r="G39" s="165">
        <v>40</v>
      </c>
      <c r="H39" s="165">
        <v>40</v>
      </c>
      <c r="I39" s="165">
        <v>40</v>
      </c>
      <c r="J39" s="165">
        <v>40</v>
      </c>
      <c r="K39" s="165">
        <v>40</v>
      </c>
      <c r="L39" s="165">
        <v>40</v>
      </c>
      <c r="M39" s="165">
        <v>40</v>
      </c>
      <c r="N39" s="165">
        <f t="shared" si="1"/>
        <v>520</v>
      </c>
      <c r="O39" s="184"/>
    </row>
    <row r="40" spans="1:15" x14ac:dyDescent="0.25">
      <c r="A40" s="164" t="s">
        <v>213</v>
      </c>
      <c r="B40" s="230">
        <v>136.27000000000001</v>
      </c>
      <c r="C40" s="230">
        <v>136.27000000000001</v>
      </c>
      <c r="D40" s="230">
        <v>136.27000000000001</v>
      </c>
      <c r="E40" s="230">
        <v>136.27000000000001</v>
      </c>
      <c r="F40" s="230">
        <v>136.27000000000001</v>
      </c>
      <c r="G40" s="230">
        <v>136.27000000000001</v>
      </c>
      <c r="H40" s="230">
        <v>136.27000000000001</v>
      </c>
      <c r="I40" s="230">
        <v>136.27000000000001</v>
      </c>
      <c r="J40" s="230">
        <v>136.27000000000001</v>
      </c>
      <c r="K40" s="230">
        <v>136.27000000000001</v>
      </c>
      <c r="L40" s="230">
        <v>136.27000000000001</v>
      </c>
      <c r="M40" s="230">
        <v>136.27000000000001</v>
      </c>
      <c r="N40" s="165">
        <f t="shared" si="1"/>
        <v>1635.24</v>
      </c>
    </row>
    <row r="41" spans="1:15" x14ac:dyDescent="0.25">
      <c r="A41" s="164" t="s">
        <v>214</v>
      </c>
      <c r="B41" s="230">
        <v>1636.44</v>
      </c>
      <c r="C41" s="230">
        <v>1636.44</v>
      </c>
      <c r="D41" s="230">
        <v>1636.44</v>
      </c>
      <c r="E41" s="230">
        <v>1636.44</v>
      </c>
      <c r="F41" s="230">
        <v>1636.44</v>
      </c>
      <c r="G41" s="230">
        <v>1636.44</v>
      </c>
      <c r="H41" s="230">
        <v>1636.44</v>
      </c>
      <c r="I41" s="230">
        <v>1636.44</v>
      </c>
      <c r="J41" s="230">
        <v>1636.44</v>
      </c>
      <c r="K41" s="230">
        <v>1636.44</v>
      </c>
      <c r="L41" s="230">
        <v>1636.44</v>
      </c>
      <c r="M41" s="230">
        <v>1636.44</v>
      </c>
      <c r="N41" s="165">
        <f t="shared" si="1"/>
        <v>19637.280000000002</v>
      </c>
    </row>
    <row r="42" spans="1:15" x14ac:dyDescent="0.25">
      <c r="A42" s="164" t="s">
        <v>268</v>
      </c>
      <c r="B42" s="230">
        <v>203.05</v>
      </c>
      <c r="C42" s="230">
        <v>203.05</v>
      </c>
      <c r="D42" s="230">
        <v>203.05</v>
      </c>
      <c r="E42" s="230">
        <v>203.05</v>
      </c>
      <c r="F42" s="230">
        <v>203.05</v>
      </c>
      <c r="G42" s="230">
        <v>203.05</v>
      </c>
      <c r="H42" s="230">
        <v>203.05</v>
      </c>
      <c r="I42" s="230">
        <v>203.05</v>
      </c>
      <c r="J42" s="230">
        <v>203.05</v>
      </c>
      <c r="K42" s="230">
        <v>203.05</v>
      </c>
      <c r="L42" s="230">
        <v>203.05</v>
      </c>
      <c r="M42" s="230">
        <v>203.05</v>
      </c>
      <c r="N42" s="165">
        <f t="shared" si="1"/>
        <v>2436.6</v>
      </c>
    </row>
    <row r="43" spans="1:15" x14ac:dyDescent="0.25">
      <c r="A43" s="164" t="s">
        <v>215</v>
      </c>
      <c r="B43" s="230">
        <v>2494.36</v>
      </c>
      <c r="C43" s="230">
        <v>2494.36</v>
      </c>
      <c r="D43" s="230">
        <v>2494.36</v>
      </c>
      <c r="E43" s="230">
        <v>2494.36</v>
      </c>
      <c r="F43" s="230">
        <v>2494.36</v>
      </c>
      <c r="G43" s="230">
        <v>2494.36</v>
      </c>
      <c r="H43" s="230">
        <v>2494.36</v>
      </c>
      <c r="I43" s="230">
        <v>2494.36</v>
      </c>
      <c r="J43" s="230">
        <v>2494.36</v>
      </c>
      <c r="K43" s="230">
        <v>2494.36</v>
      </c>
      <c r="L43" s="230">
        <v>2494.36</v>
      </c>
      <c r="M43" s="230">
        <v>2494.36</v>
      </c>
      <c r="N43" s="165">
        <f t="shared" si="1"/>
        <v>29932.320000000003</v>
      </c>
    </row>
    <row r="44" spans="1:15" x14ac:dyDescent="0.25">
      <c r="A44" s="229" t="s">
        <v>333</v>
      </c>
      <c r="B44" s="230">
        <v>1757.31</v>
      </c>
      <c r="C44" s="230">
        <v>1757.31</v>
      </c>
      <c r="D44" s="230">
        <v>1757.31</v>
      </c>
      <c r="E44" s="230">
        <v>1757.31</v>
      </c>
      <c r="F44" s="230">
        <v>1757.31</v>
      </c>
      <c r="G44" s="230">
        <v>1757.31</v>
      </c>
      <c r="H44" s="230">
        <v>1757.31</v>
      </c>
      <c r="I44" s="230">
        <v>1757.31</v>
      </c>
      <c r="J44" s="230">
        <v>1757.31</v>
      </c>
      <c r="K44" s="230">
        <v>1757.31</v>
      </c>
      <c r="L44" s="230">
        <v>1757.31</v>
      </c>
      <c r="M44" s="230">
        <v>1757.31</v>
      </c>
      <c r="N44" s="230">
        <f t="shared" si="1"/>
        <v>21087.72</v>
      </c>
    </row>
    <row r="45" spans="1:15" x14ac:dyDescent="0.25">
      <c r="A45" s="166" t="s">
        <v>190</v>
      </c>
      <c r="B45" s="167">
        <f t="shared" ref="B45:N45" si="2">SUM(B11:B44)</f>
        <v>64188.43</v>
      </c>
      <c r="C45" s="167">
        <f t="shared" si="2"/>
        <v>23088.43</v>
      </c>
      <c r="D45" s="167">
        <f t="shared" si="2"/>
        <v>21728.43</v>
      </c>
      <c r="E45" s="167">
        <f t="shared" si="2"/>
        <v>20588.43</v>
      </c>
      <c r="F45" s="167">
        <f t="shared" si="2"/>
        <v>26628.43</v>
      </c>
      <c r="G45" s="167">
        <f t="shared" si="2"/>
        <v>23588.43</v>
      </c>
      <c r="H45" s="167">
        <f t="shared" si="2"/>
        <v>20588.43</v>
      </c>
      <c r="I45" s="167">
        <f t="shared" si="2"/>
        <v>20588.43</v>
      </c>
      <c r="J45" s="167">
        <f t="shared" si="2"/>
        <v>20638.430000000004</v>
      </c>
      <c r="K45" s="167">
        <f t="shared" si="2"/>
        <v>20588.43</v>
      </c>
      <c r="L45" s="167">
        <f t="shared" si="2"/>
        <v>54588.43</v>
      </c>
      <c r="M45" s="167">
        <f t="shared" si="2"/>
        <v>102588.43000000001</v>
      </c>
      <c r="N45" s="167">
        <f t="shared" si="2"/>
        <v>419391.16000000003</v>
      </c>
    </row>
    <row r="46" spans="1:15" x14ac:dyDescent="0.25">
      <c r="A46" s="168" t="s">
        <v>191</v>
      </c>
      <c r="B46" s="167">
        <f t="shared" ref="B46:N46" si="3">SUM(B45)</f>
        <v>64188.43</v>
      </c>
      <c r="C46" s="167">
        <f t="shared" ref="C46:M46" si="4">SUM(C45)</f>
        <v>23088.43</v>
      </c>
      <c r="D46" s="167">
        <f t="shared" si="4"/>
        <v>21728.43</v>
      </c>
      <c r="E46" s="167">
        <f t="shared" si="4"/>
        <v>20588.43</v>
      </c>
      <c r="F46" s="167">
        <f t="shared" si="4"/>
        <v>26628.43</v>
      </c>
      <c r="G46" s="167">
        <f t="shared" si="4"/>
        <v>23588.43</v>
      </c>
      <c r="H46" s="167">
        <f t="shared" si="4"/>
        <v>20588.43</v>
      </c>
      <c r="I46" s="167">
        <f t="shared" si="4"/>
        <v>20588.43</v>
      </c>
      <c r="J46" s="167">
        <f t="shared" si="4"/>
        <v>20638.430000000004</v>
      </c>
      <c r="K46" s="167">
        <f t="shared" si="4"/>
        <v>20588.43</v>
      </c>
      <c r="L46" s="167">
        <f t="shared" si="4"/>
        <v>54588.43</v>
      </c>
      <c r="M46" s="167">
        <f t="shared" si="4"/>
        <v>102588.43000000001</v>
      </c>
      <c r="N46" s="167">
        <f t="shared" si="3"/>
        <v>419391.16000000003</v>
      </c>
    </row>
    <row r="47" spans="1:15" x14ac:dyDescent="0.25">
      <c r="A47" s="163" t="s">
        <v>216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</row>
    <row r="48" spans="1:15" x14ac:dyDescent="0.25">
      <c r="A48" s="164" t="s">
        <v>217</v>
      </c>
      <c r="B48" s="230">
        <v>1808.4969980544745</v>
      </c>
      <c r="C48" s="230">
        <v>1903.6810505836575</v>
      </c>
      <c r="D48" s="230">
        <v>1998.8651031128404</v>
      </c>
      <c r="E48" s="230">
        <v>2094.0491556420234</v>
      </c>
      <c r="F48" s="230">
        <v>2189.2332081712061</v>
      </c>
      <c r="G48" s="230">
        <v>1903.6810505836575</v>
      </c>
      <c r="H48" s="230">
        <v>2189.2332081712061</v>
      </c>
      <c r="I48" s="230">
        <v>2094.0491556420234</v>
      </c>
      <c r="J48" s="230">
        <v>1998.8651031128404</v>
      </c>
      <c r="K48" s="230">
        <v>2189.2332081712061</v>
      </c>
      <c r="L48" s="230">
        <v>1998.8651031128404</v>
      </c>
      <c r="M48" s="230">
        <v>2452.0340556420233</v>
      </c>
      <c r="N48" s="230">
        <f>SUM(B48:M48)</f>
        <v>24820.286399999997</v>
      </c>
    </row>
    <row r="49" spans="1:14" x14ac:dyDescent="0.25">
      <c r="A49" s="164" t="s">
        <v>218</v>
      </c>
      <c r="B49" s="230">
        <v>231.97401124466163</v>
      </c>
      <c r="C49" s="230">
        <v>244.18316973122276</v>
      </c>
      <c r="D49" s="230">
        <v>256.39232821778393</v>
      </c>
      <c r="E49" s="230">
        <v>268.60148670434506</v>
      </c>
      <c r="F49" s="230">
        <v>280.8106451909062</v>
      </c>
      <c r="G49" s="230">
        <v>244.18316973122276</v>
      </c>
      <c r="H49" s="230">
        <v>280.8106451909062</v>
      </c>
      <c r="I49" s="230">
        <v>268.60148670434506</v>
      </c>
      <c r="J49" s="230">
        <v>256.39232821778393</v>
      </c>
      <c r="K49" s="230">
        <v>280.8106451909062</v>
      </c>
      <c r="L49" s="230">
        <v>256.39232821778393</v>
      </c>
      <c r="M49" s="230">
        <v>327.66899520434504</v>
      </c>
      <c r="N49" s="230">
        <f>SUM(B49:M49)</f>
        <v>3196.8212395462124</v>
      </c>
    </row>
    <row r="50" spans="1:14" x14ac:dyDescent="0.25">
      <c r="A50" s="164" t="s">
        <v>219</v>
      </c>
      <c r="B50" s="230">
        <v>19.16307049412422</v>
      </c>
      <c r="C50" s="230">
        <v>20.171653151709705</v>
      </c>
      <c r="D50" s="230">
        <v>21.180235809295191</v>
      </c>
      <c r="E50" s="230">
        <v>22.188818466880676</v>
      </c>
      <c r="F50" s="230">
        <v>23.197401124466161</v>
      </c>
      <c r="G50" s="230">
        <v>20.171653151709705</v>
      </c>
      <c r="H50" s="230">
        <v>23.197401124466161</v>
      </c>
      <c r="I50" s="230">
        <v>22.188818466880676</v>
      </c>
      <c r="J50" s="230">
        <v>21.180235809295191</v>
      </c>
      <c r="K50" s="230">
        <v>23.197401124466161</v>
      </c>
      <c r="L50" s="230">
        <v>21.180235809295191</v>
      </c>
      <c r="M50" s="230">
        <v>22.188818466880676</v>
      </c>
      <c r="N50" s="230">
        <f>SUM(B50:M50)</f>
        <v>259.20574299946975</v>
      </c>
    </row>
    <row r="51" spans="1:14" x14ac:dyDescent="0.25">
      <c r="A51" s="164" t="s">
        <v>220</v>
      </c>
      <c r="B51" s="230">
        <v>230.03099216513419</v>
      </c>
      <c r="C51" s="230">
        <v>172.058833858036</v>
      </c>
      <c r="D51" s="230">
        <v>180.66177555093779</v>
      </c>
      <c r="E51" s="230">
        <v>189.26471724383958</v>
      </c>
      <c r="F51" s="230">
        <v>197.86765893674138</v>
      </c>
      <c r="G51" s="230">
        <v>172.058833858036</v>
      </c>
      <c r="H51" s="230">
        <v>197.86765893674138</v>
      </c>
      <c r="I51" s="230">
        <v>189.26471724383958</v>
      </c>
      <c r="J51" s="230">
        <v>180.66177555093779</v>
      </c>
      <c r="K51" s="230">
        <v>197.86765893674138</v>
      </c>
      <c r="L51" s="230">
        <v>180.66177555093779</v>
      </c>
      <c r="M51" s="230">
        <v>189.26471724383958</v>
      </c>
      <c r="N51" s="230">
        <f>SUM(B51:M51)</f>
        <v>2277.531115075763</v>
      </c>
    </row>
    <row r="52" spans="1:14" x14ac:dyDescent="0.25">
      <c r="A52" s="164" t="s">
        <v>221</v>
      </c>
      <c r="B52" s="230">
        <v>64.94762495136186</v>
      </c>
      <c r="C52" s="230">
        <v>47.592026264591439</v>
      </c>
      <c r="D52" s="230">
        <v>49.97162757782101</v>
      </c>
      <c r="E52" s="230">
        <v>52.351228891050582</v>
      </c>
      <c r="F52" s="230">
        <v>54.730830204280153</v>
      </c>
      <c r="G52" s="230">
        <v>47.592026264591439</v>
      </c>
      <c r="H52" s="230">
        <v>54.730830204280153</v>
      </c>
      <c r="I52" s="230">
        <v>52.351228891050582</v>
      </c>
      <c r="J52" s="230">
        <v>49.97162757782101</v>
      </c>
      <c r="K52" s="230">
        <v>54.730830204280153</v>
      </c>
      <c r="L52" s="230">
        <v>49.97162757782101</v>
      </c>
      <c r="M52" s="230">
        <v>52.351228891050582</v>
      </c>
      <c r="N52" s="230">
        <f>SUM(B52:M52)</f>
        <v>631.29273749999993</v>
      </c>
    </row>
    <row r="53" spans="1:14" x14ac:dyDescent="0.25">
      <c r="A53" s="166" t="s">
        <v>222</v>
      </c>
      <c r="B53" s="282">
        <f t="shared" ref="B53:N53" si="5">SUM(B48:B52)</f>
        <v>2354.6126969097563</v>
      </c>
      <c r="C53" s="282">
        <f t="shared" si="5"/>
        <v>2387.6867335892171</v>
      </c>
      <c r="D53" s="282">
        <f t="shared" si="5"/>
        <v>2507.0710702686783</v>
      </c>
      <c r="E53" s="282">
        <f t="shared" si="5"/>
        <v>2626.4554069481392</v>
      </c>
      <c r="F53" s="282">
        <f t="shared" si="5"/>
        <v>2745.8397436276</v>
      </c>
      <c r="G53" s="282">
        <f t="shared" si="5"/>
        <v>2387.6867335892171</v>
      </c>
      <c r="H53" s="282">
        <f t="shared" si="5"/>
        <v>2745.8397436276</v>
      </c>
      <c r="I53" s="282">
        <f t="shared" si="5"/>
        <v>2626.4554069481392</v>
      </c>
      <c r="J53" s="282">
        <f t="shared" si="5"/>
        <v>2507.0710702686783</v>
      </c>
      <c r="K53" s="282">
        <f t="shared" si="5"/>
        <v>2745.8397436276</v>
      </c>
      <c r="L53" s="282">
        <f t="shared" si="5"/>
        <v>2507.0710702686783</v>
      </c>
      <c r="M53" s="282">
        <f t="shared" si="5"/>
        <v>3043.5078154481394</v>
      </c>
      <c r="N53" s="282">
        <f t="shared" si="5"/>
        <v>31185.137235121441</v>
      </c>
    </row>
    <row r="54" spans="1:14" x14ac:dyDescent="0.25">
      <c r="A54" s="168" t="s">
        <v>191</v>
      </c>
      <c r="B54" s="167">
        <f t="shared" ref="B54:N54" si="6">SUM(B46,B53)</f>
        <v>66543.042696909761</v>
      </c>
      <c r="C54" s="167">
        <f t="shared" si="6"/>
        <v>25476.116733589217</v>
      </c>
      <c r="D54" s="167">
        <f t="shared" si="6"/>
        <v>24235.501070268678</v>
      </c>
      <c r="E54" s="167">
        <f t="shared" si="6"/>
        <v>23214.885406948139</v>
      </c>
      <c r="F54" s="167">
        <f t="shared" si="6"/>
        <v>29374.269743627599</v>
      </c>
      <c r="G54" s="167">
        <f t="shared" si="6"/>
        <v>25976.116733589217</v>
      </c>
      <c r="H54" s="167">
        <f t="shared" si="6"/>
        <v>23334.269743627599</v>
      </c>
      <c r="I54" s="167">
        <f t="shared" si="6"/>
        <v>23214.885406948139</v>
      </c>
      <c r="J54" s="167">
        <f t="shared" si="6"/>
        <v>23145.501070268681</v>
      </c>
      <c r="K54" s="167">
        <f t="shared" si="6"/>
        <v>23334.269743627599</v>
      </c>
      <c r="L54" s="167">
        <f t="shared" si="6"/>
        <v>57095.501070268678</v>
      </c>
      <c r="M54" s="167">
        <f t="shared" si="6"/>
        <v>105631.93781544815</v>
      </c>
      <c r="N54" s="167">
        <f t="shared" si="6"/>
        <v>450576.29723512148</v>
      </c>
    </row>
    <row r="55" spans="1:14" x14ac:dyDescent="0.25">
      <c r="A55" s="159" t="s">
        <v>192</v>
      </c>
      <c r="B55" s="160">
        <f>-B54</f>
        <v>-66543.042696909761</v>
      </c>
      <c r="C55" s="160">
        <f t="shared" ref="C55:M55" si="7">-C54</f>
        <v>-25476.116733589217</v>
      </c>
      <c r="D55" s="160">
        <f t="shared" si="7"/>
        <v>-24235.501070268678</v>
      </c>
      <c r="E55" s="160">
        <f t="shared" si="7"/>
        <v>-23214.885406948139</v>
      </c>
      <c r="F55" s="160">
        <f t="shared" si="7"/>
        <v>-29374.269743627599</v>
      </c>
      <c r="G55" s="160">
        <f t="shared" si="7"/>
        <v>-25976.116733589217</v>
      </c>
      <c r="H55" s="160">
        <f t="shared" si="7"/>
        <v>-23334.269743627599</v>
      </c>
      <c r="I55" s="160">
        <f t="shared" si="7"/>
        <v>-23214.885406948139</v>
      </c>
      <c r="J55" s="160">
        <f t="shared" si="7"/>
        <v>-23145.501070268681</v>
      </c>
      <c r="K55" s="160">
        <f t="shared" si="7"/>
        <v>-23334.269743627599</v>
      </c>
      <c r="L55" s="160">
        <f t="shared" si="7"/>
        <v>-57095.501070268678</v>
      </c>
      <c r="M55" s="160">
        <f t="shared" si="7"/>
        <v>-105631.93781544815</v>
      </c>
      <c r="N55" s="160">
        <f>N12-N54</f>
        <v>-450576.29723512148</v>
      </c>
    </row>
    <row r="56" spans="1:14" hidden="1" x14ac:dyDescent="0.25">
      <c r="A56" s="161" t="s">
        <v>193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</row>
    <row r="57" spans="1:14" hidden="1" x14ac:dyDescent="0.25">
      <c r="A57" s="163" t="s">
        <v>196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</row>
    <row r="58" spans="1:14" ht="11.25" hidden="1" customHeight="1" x14ac:dyDescent="0.25">
      <c r="A58" s="164" t="s">
        <v>334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f t="shared" ref="N58" si="8">SUM(B58:M58)</f>
        <v>0</v>
      </c>
    </row>
    <row r="59" spans="1:14" ht="11.25" hidden="1" customHeight="1" x14ac:dyDescent="0.25">
      <c r="A59" s="166" t="s">
        <v>197</v>
      </c>
      <c r="B59" s="167">
        <f t="shared" ref="B59:N60" si="9">SUM(B58)</f>
        <v>0</v>
      </c>
      <c r="C59" s="167">
        <f t="shared" si="9"/>
        <v>0</v>
      </c>
      <c r="D59" s="167">
        <f t="shared" si="9"/>
        <v>0</v>
      </c>
      <c r="E59" s="167">
        <f t="shared" si="9"/>
        <v>0</v>
      </c>
      <c r="F59" s="167">
        <f t="shared" si="9"/>
        <v>0</v>
      </c>
      <c r="G59" s="167">
        <f t="shared" si="9"/>
        <v>0</v>
      </c>
      <c r="H59" s="167">
        <f t="shared" si="9"/>
        <v>0</v>
      </c>
      <c r="I59" s="167">
        <f t="shared" si="9"/>
        <v>0</v>
      </c>
      <c r="J59" s="167">
        <f t="shared" si="9"/>
        <v>0</v>
      </c>
      <c r="K59" s="167">
        <f t="shared" si="9"/>
        <v>0</v>
      </c>
      <c r="L59" s="167">
        <f t="shared" si="9"/>
        <v>0</v>
      </c>
      <c r="M59" s="167">
        <f t="shared" si="9"/>
        <v>0</v>
      </c>
      <c r="N59" s="167">
        <f t="shared" si="9"/>
        <v>0</v>
      </c>
    </row>
    <row r="60" spans="1:14" ht="11.25" hidden="1" customHeight="1" x14ac:dyDescent="0.25">
      <c r="A60" s="168" t="s">
        <v>200</v>
      </c>
      <c r="B60" s="167">
        <f t="shared" si="9"/>
        <v>0</v>
      </c>
      <c r="C60" s="167">
        <f t="shared" si="9"/>
        <v>0</v>
      </c>
      <c r="D60" s="167">
        <f t="shared" si="9"/>
        <v>0</v>
      </c>
      <c r="E60" s="167">
        <f t="shared" si="9"/>
        <v>0</v>
      </c>
      <c r="F60" s="167">
        <f t="shared" si="9"/>
        <v>0</v>
      </c>
      <c r="G60" s="167">
        <f t="shared" si="9"/>
        <v>0</v>
      </c>
      <c r="H60" s="167">
        <f t="shared" si="9"/>
        <v>0</v>
      </c>
      <c r="I60" s="167">
        <f t="shared" si="9"/>
        <v>0</v>
      </c>
      <c r="J60" s="167">
        <f t="shared" si="9"/>
        <v>0</v>
      </c>
      <c r="K60" s="167">
        <f t="shared" si="9"/>
        <v>0</v>
      </c>
      <c r="L60" s="167">
        <f t="shared" si="9"/>
        <v>0</v>
      </c>
      <c r="M60" s="167">
        <f t="shared" si="9"/>
        <v>0</v>
      </c>
      <c r="N60" s="167">
        <f t="shared" si="9"/>
        <v>0</v>
      </c>
    </row>
    <row r="61" spans="1:14" ht="11.25" hidden="1" customHeight="1" x14ac:dyDescent="0.25">
      <c r="A61" s="159" t="s">
        <v>29</v>
      </c>
      <c r="B61" s="160">
        <f t="shared" ref="B61:N61" si="10">B55+B60+0</f>
        <v>-66543.042696909761</v>
      </c>
      <c r="C61" s="160">
        <f t="shared" si="10"/>
        <v>-25476.116733589217</v>
      </c>
      <c r="D61" s="160">
        <f t="shared" si="10"/>
        <v>-24235.501070268678</v>
      </c>
      <c r="E61" s="160">
        <f t="shared" si="10"/>
        <v>-23214.885406948139</v>
      </c>
      <c r="F61" s="160">
        <f t="shared" si="10"/>
        <v>-29374.269743627599</v>
      </c>
      <c r="G61" s="160">
        <f t="shared" si="10"/>
        <v>-25976.116733589217</v>
      </c>
      <c r="H61" s="160">
        <f t="shared" si="10"/>
        <v>-23334.269743627599</v>
      </c>
      <c r="I61" s="160">
        <f t="shared" si="10"/>
        <v>-23214.885406948139</v>
      </c>
      <c r="J61" s="160">
        <f t="shared" si="10"/>
        <v>-23145.501070268681</v>
      </c>
      <c r="K61" s="160">
        <f t="shared" si="10"/>
        <v>-23334.269743627599</v>
      </c>
      <c r="L61" s="160">
        <f t="shared" si="10"/>
        <v>-57095.501070268678</v>
      </c>
      <c r="M61" s="160">
        <f t="shared" si="10"/>
        <v>-105631.93781544815</v>
      </c>
      <c r="N61" s="160">
        <f t="shared" si="10"/>
        <v>-450576.29723512148</v>
      </c>
    </row>
    <row r="62" spans="1:14" ht="11.25" hidden="1" customHeight="1" x14ac:dyDescent="0.25"/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CCBE-56A2-7F4B-8EFA-9DC4F2DEAFC2}">
  <sheetPr codeName="Sheet10">
    <tabColor rgb="FFFFC000"/>
    <pageSetUpPr fitToPage="1"/>
  </sheetPr>
  <dimension ref="A1:N30"/>
  <sheetViews>
    <sheetView tabSelected="1" zoomScaleNormal="100" workbookViewId="0">
      <selection activeCell="D13" sqref="D13"/>
    </sheetView>
  </sheetViews>
  <sheetFormatPr defaultRowHeight="15.75" x14ac:dyDescent="0.25"/>
  <cols>
    <col min="1" max="1" width="49" bestFit="1" customWidth="1"/>
    <col min="2" max="13" width="7.375" bestFit="1" customWidth="1"/>
    <col min="14" max="14" width="8.1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66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325</v>
      </c>
      <c r="B11" s="230">
        <v>830</v>
      </c>
      <c r="C11" s="230">
        <v>0</v>
      </c>
      <c r="D11" s="230">
        <v>300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 t="shared" ref="N11:N19" si="1">SUM(B11:M11)</f>
        <v>1130</v>
      </c>
    </row>
    <row r="12" spans="1:14" x14ac:dyDescent="0.25">
      <c r="A12" s="229" t="s">
        <v>208</v>
      </c>
      <c r="B12" s="230">
        <v>90</v>
      </c>
      <c r="C12" s="230">
        <v>0</v>
      </c>
      <c r="D12" s="230">
        <v>0</v>
      </c>
      <c r="E12" s="230">
        <v>0</v>
      </c>
      <c r="F12" s="230">
        <v>0</v>
      </c>
      <c r="G12" s="230">
        <v>90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ref="N12" si="2">SUM(B12:M12)</f>
        <v>180</v>
      </c>
    </row>
    <row r="13" spans="1:14" x14ac:dyDescent="0.25">
      <c r="A13" s="229" t="s">
        <v>335</v>
      </c>
      <c r="B13" s="230">
        <v>200</v>
      </c>
      <c r="C13" s="230">
        <v>200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f t="shared" si="1"/>
        <v>400</v>
      </c>
    </row>
    <row r="14" spans="1:14" x14ac:dyDescent="0.25">
      <c r="A14" s="229" t="s">
        <v>206</v>
      </c>
      <c r="B14" s="230">
        <v>80</v>
      </c>
      <c r="C14" s="230">
        <v>80</v>
      </c>
      <c r="D14" s="230">
        <v>80</v>
      </c>
      <c r="E14" s="230">
        <v>80</v>
      </c>
      <c r="F14" s="230">
        <v>80</v>
      </c>
      <c r="G14" s="230">
        <v>80</v>
      </c>
      <c r="H14" s="230">
        <v>80</v>
      </c>
      <c r="I14" s="230">
        <v>80</v>
      </c>
      <c r="J14" s="230">
        <v>80</v>
      </c>
      <c r="K14" s="230">
        <v>80</v>
      </c>
      <c r="L14" s="230">
        <v>80</v>
      </c>
      <c r="M14" s="230">
        <v>80</v>
      </c>
      <c r="N14" s="230">
        <f t="shared" si="1"/>
        <v>960</v>
      </c>
    </row>
    <row r="15" spans="1:14" x14ac:dyDescent="0.25">
      <c r="A15" s="229" t="s">
        <v>318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 t="shared" si="1"/>
        <v>0</v>
      </c>
    </row>
    <row r="16" spans="1:14" x14ac:dyDescent="0.25">
      <c r="A16" s="229" t="s">
        <v>257</v>
      </c>
      <c r="B16" s="230">
        <v>0</v>
      </c>
      <c r="C16" s="230">
        <v>100</v>
      </c>
      <c r="D16" s="230">
        <v>100</v>
      </c>
      <c r="E16" s="230">
        <v>100</v>
      </c>
      <c r="F16" s="230">
        <v>100</v>
      </c>
      <c r="G16" s="230">
        <v>100</v>
      </c>
      <c r="H16" s="230">
        <v>100</v>
      </c>
      <c r="I16" s="230">
        <v>100</v>
      </c>
      <c r="J16" s="230">
        <v>100</v>
      </c>
      <c r="K16" s="230">
        <v>100</v>
      </c>
      <c r="L16" s="230">
        <v>100</v>
      </c>
      <c r="M16" s="230">
        <v>0</v>
      </c>
      <c r="N16" s="230">
        <f t="shared" si="1"/>
        <v>1000</v>
      </c>
    </row>
    <row r="17" spans="1:14" x14ac:dyDescent="0.25">
      <c r="A17" s="229" t="s">
        <v>260</v>
      </c>
      <c r="B17" s="230">
        <v>300</v>
      </c>
      <c r="C17" s="230">
        <v>2510</v>
      </c>
      <c r="D17" s="230">
        <v>0</v>
      </c>
      <c r="E17" s="230">
        <v>2000</v>
      </c>
      <c r="F17" s="230">
        <v>2000</v>
      </c>
      <c r="G17" s="230">
        <v>0</v>
      </c>
      <c r="H17" s="230">
        <v>0</v>
      </c>
      <c r="I17" s="230">
        <v>2000</v>
      </c>
      <c r="J17" s="230">
        <v>2000</v>
      </c>
      <c r="K17" s="230">
        <v>0</v>
      </c>
      <c r="L17" s="230">
        <v>2000</v>
      </c>
      <c r="M17" s="230">
        <v>0</v>
      </c>
      <c r="N17" s="230">
        <f t="shared" si="1"/>
        <v>12810</v>
      </c>
    </row>
    <row r="18" spans="1:14" x14ac:dyDescent="0.25">
      <c r="A18" s="229" t="s">
        <v>263</v>
      </c>
      <c r="B18" s="230">
        <v>25</v>
      </c>
      <c r="C18" s="230">
        <v>25</v>
      </c>
      <c r="D18" s="230">
        <v>25</v>
      </c>
      <c r="E18" s="230">
        <v>25</v>
      </c>
      <c r="F18" s="230">
        <v>25</v>
      </c>
      <c r="G18" s="230">
        <v>25</v>
      </c>
      <c r="H18" s="230">
        <v>25</v>
      </c>
      <c r="I18" s="230">
        <v>25</v>
      </c>
      <c r="J18" s="230">
        <v>25</v>
      </c>
      <c r="K18" s="230">
        <v>25</v>
      </c>
      <c r="L18" s="230">
        <v>25</v>
      </c>
      <c r="M18" s="230">
        <v>25</v>
      </c>
      <c r="N18" s="230">
        <f t="shared" si="1"/>
        <v>300</v>
      </c>
    </row>
    <row r="19" spans="1:14" x14ac:dyDescent="0.25">
      <c r="A19" s="229" t="s">
        <v>268</v>
      </c>
      <c r="B19" s="230">
        <v>0</v>
      </c>
      <c r="C19" s="230">
        <v>0</v>
      </c>
      <c r="D19" s="230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f t="shared" si="1"/>
        <v>0</v>
      </c>
    </row>
    <row r="20" spans="1:14" x14ac:dyDescent="0.25">
      <c r="A20" s="281" t="s">
        <v>190</v>
      </c>
      <c r="B20" s="282">
        <f>SUM(B11:B19)</f>
        <v>1525</v>
      </c>
      <c r="C20" s="282">
        <f t="shared" ref="C20:N20" si="3">SUM(C11:C19)</f>
        <v>2915</v>
      </c>
      <c r="D20" s="282">
        <f t="shared" si="3"/>
        <v>505</v>
      </c>
      <c r="E20" s="282">
        <f t="shared" si="3"/>
        <v>2205</v>
      </c>
      <c r="F20" s="282">
        <f t="shared" si="3"/>
        <v>2205</v>
      </c>
      <c r="G20" s="282">
        <f t="shared" si="3"/>
        <v>295</v>
      </c>
      <c r="H20" s="282">
        <f t="shared" si="3"/>
        <v>205</v>
      </c>
      <c r="I20" s="282">
        <f t="shared" si="3"/>
        <v>2205</v>
      </c>
      <c r="J20" s="282">
        <f t="shared" si="3"/>
        <v>2205</v>
      </c>
      <c r="K20" s="282">
        <f t="shared" si="3"/>
        <v>205</v>
      </c>
      <c r="L20" s="282">
        <f t="shared" si="3"/>
        <v>2205</v>
      </c>
      <c r="M20" s="282">
        <f t="shared" si="3"/>
        <v>105</v>
      </c>
      <c r="N20" s="282">
        <f t="shared" si="3"/>
        <v>16780</v>
      </c>
    </row>
    <row r="21" spans="1:14" x14ac:dyDescent="0.25">
      <c r="A21" s="280" t="s">
        <v>216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</row>
    <row r="22" spans="1:14" x14ac:dyDescent="0.25">
      <c r="A22" s="229" t="s">
        <v>217</v>
      </c>
      <c r="B22" s="230">
        <f>PSA!B33</f>
        <v>1955.6691128404668</v>
      </c>
      <c r="C22" s="230">
        <f>PSA!C33</f>
        <v>2058.59906614786</v>
      </c>
      <c r="D22" s="230">
        <f>PSA!D33</f>
        <v>2161.5290194552531</v>
      </c>
      <c r="E22" s="230">
        <f>PSA!E33</f>
        <v>2264.4589727626458</v>
      </c>
      <c r="F22" s="230">
        <f>PSA!F33</f>
        <v>2367.3889260700389</v>
      </c>
      <c r="G22" s="230">
        <f>PSA!G33</f>
        <v>2058.59906614786</v>
      </c>
      <c r="H22" s="230">
        <f>PSA!H33</f>
        <v>2367.3889260700389</v>
      </c>
      <c r="I22" s="230">
        <f>PSA!I33</f>
        <v>2264.4589727626458</v>
      </c>
      <c r="J22" s="230">
        <f>PSA!J33</f>
        <v>2161.5290194552531</v>
      </c>
      <c r="K22" s="230">
        <f>PSA!K33</f>
        <v>2367.3889260700389</v>
      </c>
      <c r="L22" s="230">
        <f>PSA!L33</f>
        <v>2161.5290194552531</v>
      </c>
      <c r="M22" s="230">
        <f>PSA!M33</f>
        <v>2264.4589727626458</v>
      </c>
      <c r="N22" s="230">
        <f>SUM(B22:M22)</f>
        <v>26452.998</v>
      </c>
    </row>
    <row r="23" spans="1:14" x14ac:dyDescent="0.25">
      <c r="A23" s="229" t="s">
        <v>269</v>
      </c>
      <c r="B23" s="230">
        <v>0</v>
      </c>
      <c r="C23" s="230">
        <v>0</v>
      </c>
      <c r="D23" s="230">
        <v>0</v>
      </c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f>SUM(B23:M23)</f>
        <v>0</v>
      </c>
    </row>
    <row r="24" spans="1:14" x14ac:dyDescent="0.25">
      <c r="A24" s="229" t="s">
        <v>218</v>
      </c>
      <c r="B24" s="230">
        <f>PSA!B34</f>
        <v>250.85162389593685</v>
      </c>
      <c r="C24" s="230">
        <f>PSA!C34</f>
        <v>264.0543409430914</v>
      </c>
      <c r="D24" s="230">
        <f>PSA!D34</f>
        <v>277.25705799024598</v>
      </c>
      <c r="E24" s="230">
        <f>PSA!E34</f>
        <v>290.45977503740056</v>
      </c>
      <c r="F24" s="230">
        <f>PSA!F34</f>
        <v>303.66249208455514</v>
      </c>
      <c r="G24" s="230">
        <f>PSA!G34</f>
        <v>264.0543409430914</v>
      </c>
      <c r="H24" s="230">
        <f>PSA!H34</f>
        <v>303.66249208455514</v>
      </c>
      <c r="I24" s="230">
        <f>PSA!I34</f>
        <v>290.45977503740056</v>
      </c>
      <c r="J24" s="230">
        <f>PSA!J34</f>
        <v>277.25705799024598</v>
      </c>
      <c r="K24" s="230">
        <f>PSA!K34</f>
        <v>303.66249208455514</v>
      </c>
      <c r="L24" s="230">
        <f>PSA!L34</f>
        <v>277.25705799024598</v>
      </c>
      <c r="M24" s="230">
        <f>PSA!M34</f>
        <v>290.45977503740056</v>
      </c>
      <c r="N24" s="230">
        <f>SUM(B24:M24)</f>
        <v>3393.0982811187246</v>
      </c>
    </row>
    <row r="25" spans="1:14" x14ac:dyDescent="0.25">
      <c r="A25" s="229" t="s">
        <v>219</v>
      </c>
      <c r="B25" s="230">
        <f>PSA!B35</f>
        <v>20.722525452273043</v>
      </c>
      <c r="C25" s="230">
        <f>PSA!C35</f>
        <v>21.813184686603208</v>
      </c>
      <c r="D25" s="230">
        <f>PSA!D35</f>
        <v>22.903843920933365</v>
      </c>
      <c r="E25" s="230">
        <f>PSA!E35</f>
        <v>23.994503155263526</v>
      </c>
      <c r="F25" s="230">
        <f>PSA!F35</f>
        <v>25.085162389593687</v>
      </c>
      <c r="G25" s="230">
        <f>PSA!G35</f>
        <v>21.813184686603208</v>
      </c>
      <c r="H25" s="230">
        <f>PSA!H35</f>
        <v>25.085162389593687</v>
      </c>
      <c r="I25" s="230">
        <f>PSA!I35</f>
        <v>23.994503155263526</v>
      </c>
      <c r="J25" s="230">
        <f>PSA!J35</f>
        <v>22.903843920933365</v>
      </c>
      <c r="K25" s="230">
        <f>PSA!K35</f>
        <v>25.085162389593687</v>
      </c>
      <c r="L25" s="230">
        <f>PSA!L35</f>
        <v>22.903843920933365</v>
      </c>
      <c r="M25" s="230">
        <f>PSA!M35</f>
        <v>23.994503155263526</v>
      </c>
      <c r="N25" s="230">
        <f>SUM(B25:M25)</f>
        <v>280.2994232228512</v>
      </c>
    </row>
    <row r="26" spans="1:14" x14ac:dyDescent="0.25">
      <c r="A26" s="229" t="s">
        <v>221</v>
      </c>
      <c r="B26" s="230">
        <f>PSA!B36</f>
        <v>48.891727821011678</v>
      </c>
      <c r="C26" s="230">
        <f>PSA!C36</f>
        <v>51.464976653696503</v>
      </c>
      <c r="D26" s="230">
        <f>PSA!D36</f>
        <v>54.038225486381329</v>
      </c>
      <c r="E26" s="230">
        <f>PSA!E36</f>
        <v>56.611474319066154</v>
      </c>
      <c r="F26" s="230">
        <f>PSA!F36</f>
        <v>59.184723151750973</v>
      </c>
      <c r="G26" s="230">
        <f>PSA!G36</f>
        <v>51.464976653696503</v>
      </c>
      <c r="H26" s="230">
        <f>PSA!H36</f>
        <v>59.184723151750973</v>
      </c>
      <c r="I26" s="230">
        <f>PSA!I36</f>
        <v>56.611474319066154</v>
      </c>
      <c r="J26" s="230">
        <f>PSA!J36</f>
        <v>54.038225486381329</v>
      </c>
      <c r="K26" s="230">
        <f>PSA!K36</f>
        <v>59.184723151750973</v>
      </c>
      <c r="L26" s="230">
        <f>PSA!L36</f>
        <v>54.038225486381329</v>
      </c>
      <c r="M26" s="230">
        <f>PSA!M36</f>
        <v>56.611474319066154</v>
      </c>
      <c r="N26" s="230">
        <f>SUM(B26:M26)</f>
        <v>661.32494999999994</v>
      </c>
    </row>
    <row r="27" spans="1:14" x14ac:dyDescent="0.25">
      <c r="A27" s="281" t="s">
        <v>222</v>
      </c>
      <c r="B27" s="282">
        <f t="shared" ref="B27:N27" si="4">SUM(B22:B26)</f>
        <v>2276.1349900096884</v>
      </c>
      <c r="C27" s="282">
        <f t="shared" si="4"/>
        <v>2395.931568431251</v>
      </c>
      <c r="D27" s="282">
        <f t="shared" si="4"/>
        <v>2515.7281468528136</v>
      </c>
      <c r="E27" s="282">
        <f t="shared" si="4"/>
        <v>2635.5247252743757</v>
      </c>
      <c r="F27" s="282">
        <f t="shared" si="4"/>
        <v>2755.3213036959387</v>
      </c>
      <c r="G27" s="282">
        <f t="shared" si="4"/>
        <v>2395.931568431251</v>
      </c>
      <c r="H27" s="282">
        <f t="shared" si="4"/>
        <v>2755.3213036959387</v>
      </c>
      <c r="I27" s="282">
        <f t="shared" si="4"/>
        <v>2635.5247252743757</v>
      </c>
      <c r="J27" s="282">
        <f t="shared" si="4"/>
        <v>2515.7281468528136</v>
      </c>
      <c r="K27" s="282">
        <f t="shared" si="4"/>
        <v>2755.3213036959387</v>
      </c>
      <c r="L27" s="282">
        <f t="shared" si="4"/>
        <v>2515.7281468528136</v>
      </c>
      <c r="M27" s="282">
        <f t="shared" si="4"/>
        <v>2635.5247252743757</v>
      </c>
      <c r="N27" s="282">
        <f t="shared" si="4"/>
        <v>30787.720654341574</v>
      </c>
    </row>
    <row r="28" spans="1:14" x14ac:dyDescent="0.25">
      <c r="A28" s="283" t="s">
        <v>191</v>
      </c>
      <c r="B28" s="282">
        <f t="shared" ref="B28:N28" si="5">SUM(B20,B27)</f>
        <v>3801.1349900096884</v>
      </c>
      <c r="C28" s="282">
        <f t="shared" si="5"/>
        <v>5310.9315684312514</v>
      </c>
      <c r="D28" s="282">
        <f t="shared" si="5"/>
        <v>3020.7281468528136</v>
      </c>
      <c r="E28" s="282">
        <f t="shared" si="5"/>
        <v>4840.5247252743757</v>
      </c>
      <c r="F28" s="282">
        <f t="shared" si="5"/>
        <v>4960.3213036959387</v>
      </c>
      <c r="G28" s="282">
        <f t="shared" si="5"/>
        <v>2690.931568431251</v>
      </c>
      <c r="H28" s="282">
        <f t="shared" si="5"/>
        <v>2960.3213036959387</v>
      </c>
      <c r="I28" s="282">
        <f t="shared" si="5"/>
        <v>4840.5247252743757</v>
      </c>
      <c r="J28" s="282">
        <f t="shared" si="5"/>
        <v>4720.7281468528136</v>
      </c>
      <c r="K28" s="282">
        <f t="shared" si="5"/>
        <v>2960.3213036959387</v>
      </c>
      <c r="L28" s="282">
        <f t="shared" si="5"/>
        <v>4720.7281468528136</v>
      </c>
      <c r="M28" s="282">
        <f t="shared" si="5"/>
        <v>2740.5247252743757</v>
      </c>
      <c r="N28" s="282">
        <f t="shared" si="5"/>
        <v>47567.720654341574</v>
      </c>
    </row>
    <row r="29" spans="1:14" x14ac:dyDescent="0.25">
      <c r="A29" s="276" t="s">
        <v>192</v>
      </c>
      <c r="B29" s="277">
        <f>B8-B28</f>
        <v>-3801.1349900096884</v>
      </c>
      <c r="C29" s="277">
        <f t="shared" ref="C29:N29" si="6">C8-C28</f>
        <v>-5310.9315684312514</v>
      </c>
      <c r="D29" s="277">
        <f t="shared" si="6"/>
        <v>-3020.7281468528136</v>
      </c>
      <c r="E29" s="277">
        <f t="shared" si="6"/>
        <v>-4840.5247252743757</v>
      </c>
      <c r="F29" s="277">
        <f t="shared" si="6"/>
        <v>-4960.3213036959387</v>
      </c>
      <c r="G29" s="277">
        <f t="shared" si="6"/>
        <v>-2690.931568431251</v>
      </c>
      <c r="H29" s="277">
        <f t="shared" si="6"/>
        <v>-2960.3213036959387</v>
      </c>
      <c r="I29" s="277">
        <f t="shared" si="6"/>
        <v>-4840.5247252743757</v>
      </c>
      <c r="J29" s="277">
        <f t="shared" si="6"/>
        <v>-4720.7281468528136</v>
      </c>
      <c r="K29" s="277">
        <f t="shared" si="6"/>
        <v>-2960.3213036959387</v>
      </c>
      <c r="L29" s="277">
        <f t="shared" si="6"/>
        <v>-4720.7281468528136</v>
      </c>
      <c r="M29" s="277">
        <f t="shared" si="6"/>
        <v>-2740.5247252743757</v>
      </c>
      <c r="N29" s="277">
        <f t="shared" si="6"/>
        <v>-47567.720654341574</v>
      </c>
    </row>
    <row r="30" spans="1:14" x14ac:dyDescent="0.25">
      <c r="A30" s="276" t="s">
        <v>29</v>
      </c>
      <c r="B30" s="277">
        <f t="shared" ref="B30:N30" si="7">B29+0+0</f>
        <v>-3801.1349900096884</v>
      </c>
      <c r="C30" s="277">
        <f t="shared" si="7"/>
        <v>-5310.9315684312514</v>
      </c>
      <c r="D30" s="277">
        <f t="shared" si="7"/>
        <v>-3020.7281468528136</v>
      </c>
      <c r="E30" s="277">
        <f t="shared" si="7"/>
        <v>-4840.5247252743757</v>
      </c>
      <c r="F30" s="277">
        <f t="shared" si="7"/>
        <v>-4960.3213036959387</v>
      </c>
      <c r="G30" s="277">
        <f t="shared" si="7"/>
        <v>-2690.931568431251</v>
      </c>
      <c r="H30" s="277">
        <f t="shared" si="7"/>
        <v>-2960.3213036959387</v>
      </c>
      <c r="I30" s="277">
        <f t="shared" si="7"/>
        <v>-4840.5247252743757</v>
      </c>
      <c r="J30" s="277">
        <f t="shared" si="7"/>
        <v>-4720.7281468528136</v>
      </c>
      <c r="K30" s="277">
        <f t="shared" si="7"/>
        <v>-2960.3213036959387</v>
      </c>
      <c r="L30" s="277">
        <f t="shared" si="7"/>
        <v>-4720.7281468528136</v>
      </c>
      <c r="M30" s="277">
        <f t="shared" si="7"/>
        <v>-2740.5247252743757</v>
      </c>
      <c r="N30" s="277">
        <f t="shared" si="7"/>
        <v>-47567.720654341574</v>
      </c>
    </row>
  </sheetData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0BFA-2009-D447-BD0E-F5111B4EFA6E}">
  <sheetPr codeName="Sheet11">
    <tabColor rgb="FFFFC000"/>
    <pageSetUpPr fitToPage="1"/>
  </sheetPr>
  <dimension ref="A1:N25"/>
  <sheetViews>
    <sheetView workbookViewId="0">
      <selection activeCell="L27" sqref="L27"/>
    </sheetView>
  </sheetViews>
  <sheetFormatPr defaultRowHeight="15.75" x14ac:dyDescent="0.25"/>
  <cols>
    <col min="1" max="1" width="46.125" bestFit="1" customWidth="1"/>
    <col min="2" max="2" width="7.625" customWidth="1"/>
    <col min="3" max="3" width="7.125" bestFit="1" customWidth="1"/>
    <col min="4" max="4" width="7.375" bestFit="1" customWidth="1"/>
    <col min="5" max="5" width="6.5" bestFit="1" customWidth="1"/>
    <col min="6" max="6" width="6.875" bestFit="1" customWidth="1"/>
    <col min="7" max="8" width="7.375" bestFit="1" customWidth="1"/>
    <col min="9" max="9" width="6.75" bestFit="1" customWidth="1"/>
    <col min="10" max="10" width="6.625" bestFit="1" customWidth="1"/>
    <col min="11" max="11" width="6.5" bestFit="1" customWidth="1"/>
    <col min="12" max="13" width="6.5" customWidth="1"/>
    <col min="14" max="14" width="7.37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70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335</v>
      </c>
      <c r="B11" s="230">
        <v>140</v>
      </c>
      <c r="C11" s="230">
        <v>140</v>
      </c>
      <c r="D11" s="230">
        <v>0</v>
      </c>
      <c r="E11" s="230">
        <v>0</v>
      </c>
      <c r="F11" s="230">
        <v>0</v>
      </c>
      <c r="G11" s="230">
        <v>0</v>
      </c>
      <c r="H11" s="230">
        <v>140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420</v>
      </c>
    </row>
    <row r="12" spans="1:14" x14ac:dyDescent="0.25">
      <c r="A12" s="229" t="s">
        <v>336</v>
      </c>
      <c r="B12" s="230">
        <v>0</v>
      </c>
      <c r="C12" s="230">
        <v>0</v>
      </c>
      <c r="D12" s="230">
        <v>500</v>
      </c>
      <c r="E12" s="230">
        <v>0</v>
      </c>
      <c r="F12" s="230">
        <v>0</v>
      </c>
      <c r="G12" s="230">
        <v>0</v>
      </c>
      <c r="H12" s="230">
        <v>0</v>
      </c>
      <c r="I12" s="230">
        <v>500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ref="N12:N16" si="1">SUM(B12:M12)</f>
        <v>1000</v>
      </c>
    </row>
    <row r="13" spans="1:14" x14ac:dyDescent="0.25">
      <c r="A13" s="229" t="s">
        <v>337</v>
      </c>
      <c r="B13" s="230">
        <v>0</v>
      </c>
      <c r="C13" s="230">
        <v>100</v>
      </c>
      <c r="D13" s="230">
        <v>100</v>
      </c>
      <c r="E13" s="230">
        <v>100</v>
      </c>
      <c r="F13" s="230">
        <v>100</v>
      </c>
      <c r="G13" s="230">
        <v>100</v>
      </c>
      <c r="H13" s="230">
        <v>100</v>
      </c>
      <c r="I13" s="230">
        <v>100</v>
      </c>
      <c r="J13" s="230">
        <v>100</v>
      </c>
      <c r="K13" s="230">
        <v>100</v>
      </c>
      <c r="L13" s="230">
        <v>100</v>
      </c>
      <c r="M13" s="230">
        <v>0</v>
      </c>
      <c r="N13" s="230">
        <f t="shared" si="1"/>
        <v>1000</v>
      </c>
    </row>
    <row r="14" spans="1:14" x14ac:dyDescent="0.25">
      <c r="A14" s="229" t="s">
        <v>260</v>
      </c>
      <c r="B14" s="230">
        <v>20</v>
      </c>
      <c r="C14" s="230">
        <v>20</v>
      </c>
      <c r="D14" s="230">
        <v>20</v>
      </c>
      <c r="E14" s="230">
        <v>20</v>
      </c>
      <c r="F14" s="230">
        <v>20</v>
      </c>
      <c r="G14" s="230">
        <v>20</v>
      </c>
      <c r="H14" s="230">
        <v>20</v>
      </c>
      <c r="I14" s="230">
        <v>20</v>
      </c>
      <c r="J14" s="230">
        <v>20</v>
      </c>
      <c r="K14" s="230">
        <v>20</v>
      </c>
      <c r="L14" s="230">
        <v>20</v>
      </c>
      <c r="M14" s="230">
        <v>20</v>
      </c>
      <c r="N14" s="230">
        <f t="shared" si="1"/>
        <v>240</v>
      </c>
    </row>
    <row r="15" spans="1:14" x14ac:dyDescent="0.25">
      <c r="A15" s="229" t="s">
        <v>263</v>
      </c>
      <c r="B15" s="230">
        <v>3</v>
      </c>
      <c r="C15" s="230">
        <v>3</v>
      </c>
      <c r="D15" s="230">
        <v>3</v>
      </c>
      <c r="E15" s="230">
        <v>3</v>
      </c>
      <c r="F15" s="230">
        <v>3</v>
      </c>
      <c r="G15" s="230">
        <v>3</v>
      </c>
      <c r="H15" s="230">
        <v>3</v>
      </c>
      <c r="I15" s="230">
        <v>3</v>
      </c>
      <c r="J15" s="230">
        <v>3</v>
      </c>
      <c r="K15" s="230">
        <v>3</v>
      </c>
      <c r="L15" s="230">
        <v>3</v>
      </c>
      <c r="M15" s="230">
        <v>3</v>
      </c>
      <c r="N15" s="230">
        <f t="shared" si="1"/>
        <v>36</v>
      </c>
    </row>
    <row r="16" spans="1:14" x14ac:dyDescent="0.25">
      <c r="A16" s="229" t="s">
        <v>320</v>
      </c>
      <c r="B16" s="230">
        <v>1000</v>
      </c>
      <c r="C16" s="230">
        <v>50</v>
      </c>
      <c r="D16" s="230">
        <v>50</v>
      </c>
      <c r="E16" s="230">
        <v>50</v>
      </c>
      <c r="F16" s="230">
        <v>50</v>
      </c>
      <c r="G16" s="230">
        <v>50</v>
      </c>
      <c r="H16" s="230">
        <v>1000</v>
      </c>
      <c r="I16" s="230">
        <v>54</v>
      </c>
      <c r="J16" s="230">
        <v>0</v>
      </c>
      <c r="K16" s="230">
        <v>0</v>
      </c>
      <c r="L16" s="230">
        <v>0</v>
      </c>
      <c r="M16" s="230">
        <v>0</v>
      </c>
      <c r="N16" s="230">
        <f t="shared" si="1"/>
        <v>2304</v>
      </c>
    </row>
    <row r="17" spans="1:14" x14ac:dyDescent="0.25">
      <c r="A17" s="281" t="s">
        <v>190</v>
      </c>
      <c r="B17" s="282">
        <f t="shared" ref="B17:N17" si="2">SUM(B11:B16)</f>
        <v>1163</v>
      </c>
      <c r="C17" s="282">
        <f t="shared" si="2"/>
        <v>313</v>
      </c>
      <c r="D17" s="282">
        <f t="shared" si="2"/>
        <v>673</v>
      </c>
      <c r="E17" s="282">
        <f t="shared" si="2"/>
        <v>173</v>
      </c>
      <c r="F17" s="282">
        <f t="shared" si="2"/>
        <v>173</v>
      </c>
      <c r="G17" s="282">
        <f t="shared" si="2"/>
        <v>173</v>
      </c>
      <c r="H17" s="282">
        <f t="shared" si="2"/>
        <v>1263</v>
      </c>
      <c r="I17" s="282">
        <f t="shared" si="2"/>
        <v>677</v>
      </c>
      <c r="J17" s="282">
        <f t="shared" si="2"/>
        <v>123</v>
      </c>
      <c r="K17" s="282">
        <f t="shared" si="2"/>
        <v>123</v>
      </c>
      <c r="L17" s="282">
        <f t="shared" si="2"/>
        <v>123</v>
      </c>
      <c r="M17" s="282">
        <f t="shared" si="2"/>
        <v>23</v>
      </c>
      <c r="N17" s="282">
        <f t="shared" si="2"/>
        <v>5000</v>
      </c>
    </row>
    <row r="18" spans="1:14" x14ac:dyDescent="0.25">
      <c r="A18" s="283" t="s">
        <v>191</v>
      </c>
      <c r="B18" s="282">
        <f t="shared" ref="B18" si="3">SUM(B17)</f>
        <v>1163</v>
      </c>
      <c r="C18" s="282">
        <f t="shared" ref="C18:N18" si="4">SUM(C17)</f>
        <v>313</v>
      </c>
      <c r="D18" s="282">
        <f t="shared" si="4"/>
        <v>673</v>
      </c>
      <c r="E18" s="282">
        <f t="shared" si="4"/>
        <v>173</v>
      </c>
      <c r="F18" s="282">
        <f t="shared" si="4"/>
        <v>173</v>
      </c>
      <c r="G18" s="282">
        <f t="shared" si="4"/>
        <v>173</v>
      </c>
      <c r="H18" s="282">
        <f t="shared" si="4"/>
        <v>1263</v>
      </c>
      <c r="I18" s="282">
        <f t="shared" si="4"/>
        <v>677</v>
      </c>
      <c r="J18" s="282">
        <f t="shared" si="4"/>
        <v>123</v>
      </c>
      <c r="K18" s="282">
        <f t="shared" si="4"/>
        <v>123</v>
      </c>
      <c r="L18" s="282">
        <f t="shared" si="4"/>
        <v>123</v>
      </c>
      <c r="M18" s="282">
        <f t="shared" si="4"/>
        <v>23</v>
      </c>
      <c r="N18" s="282">
        <f t="shared" si="4"/>
        <v>5000</v>
      </c>
    </row>
    <row r="19" spans="1:14" x14ac:dyDescent="0.25">
      <c r="A19" s="276" t="s">
        <v>192</v>
      </c>
      <c r="B19" s="277">
        <f t="shared" ref="B19:N19" si="5">B8-B18</f>
        <v>-1163</v>
      </c>
      <c r="C19" s="277">
        <f t="shared" si="5"/>
        <v>-313</v>
      </c>
      <c r="D19" s="277">
        <f t="shared" si="5"/>
        <v>-673</v>
      </c>
      <c r="E19" s="277">
        <f t="shared" si="5"/>
        <v>-173</v>
      </c>
      <c r="F19" s="277">
        <f t="shared" si="5"/>
        <v>-173</v>
      </c>
      <c r="G19" s="277">
        <f t="shared" si="5"/>
        <v>-173</v>
      </c>
      <c r="H19" s="277">
        <f t="shared" si="5"/>
        <v>-1263</v>
      </c>
      <c r="I19" s="277">
        <f t="shared" si="5"/>
        <v>-677</v>
      </c>
      <c r="J19" s="277">
        <f t="shared" si="5"/>
        <v>-123</v>
      </c>
      <c r="K19" s="277">
        <f t="shared" si="5"/>
        <v>-123</v>
      </c>
      <c r="L19" s="277">
        <f t="shared" si="5"/>
        <v>-123</v>
      </c>
      <c r="M19" s="277">
        <f t="shared" si="5"/>
        <v>-23</v>
      </c>
      <c r="N19" s="277">
        <f t="shared" si="5"/>
        <v>-5000</v>
      </c>
    </row>
    <row r="20" spans="1:14" x14ac:dyDescent="0.25">
      <c r="A20" s="278" t="s">
        <v>193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</row>
    <row r="21" spans="1:14" x14ac:dyDescent="0.25">
      <c r="A21" s="280" t="s">
        <v>196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</row>
    <row r="22" spans="1:14" x14ac:dyDescent="0.25">
      <c r="A22" s="229" t="s">
        <v>224</v>
      </c>
      <c r="B22" s="230">
        <v>0</v>
      </c>
      <c r="C22" s="230">
        <v>0</v>
      </c>
      <c r="D22" s="230">
        <v>0</v>
      </c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f>SUM(B22:M22)</f>
        <v>0</v>
      </c>
    </row>
    <row r="23" spans="1:14" x14ac:dyDescent="0.25">
      <c r="A23" s="281" t="s">
        <v>197</v>
      </c>
      <c r="B23" s="282">
        <f t="shared" ref="B23:B24" si="6">SUM(B22)</f>
        <v>0</v>
      </c>
      <c r="C23" s="282">
        <f t="shared" ref="C23:N24" si="7">SUM(C22)</f>
        <v>0</v>
      </c>
      <c r="D23" s="282">
        <f t="shared" si="7"/>
        <v>0</v>
      </c>
      <c r="E23" s="282">
        <f t="shared" si="7"/>
        <v>0</v>
      </c>
      <c r="F23" s="282">
        <f t="shared" si="7"/>
        <v>0</v>
      </c>
      <c r="G23" s="282">
        <f t="shared" si="7"/>
        <v>0</v>
      </c>
      <c r="H23" s="282">
        <f t="shared" si="7"/>
        <v>0</v>
      </c>
      <c r="I23" s="282">
        <f t="shared" si="7"/>
        <v>0</v>
      </c>
      <c r="J23" s="282">
        <f t="shared" si="7"/>
        <v>0</v>
      </c>
      <c r="K23" s="282">
        <f t="shared" si="7"/>
        <v>0</v>
      </c>
      <c r="L23" s="282">
        <f t="shared" si="7"/>
        <v>0</v>
      </c>
      <c r="M23" s="282">
        <f t="shared" si="7"/>
        <v>0</v>
      </c>
      <c r="N23" s="282">
        <f t="shared" si="7"/>
        <v>0</v>
      </c>
    </row>
    <row r="24" spans="1:14" x14ac:dyDescent="0.25">
      <c r="A24" s="283" t="s">
        <v>200</v>
      </c>
      <c r="B24" s="282">
        <f t="shared" si="6"/>
        <v>0</v>
      </c>
      <c r="C24" s="282">
        <f t="shared" si="7"/>
        <v>0</v>
      </c>
      <c r="D24" s="282">
        <f t="shared" si="7"/>
        <v>0</v>
      </c>
      <c r="E24" s="282">
        <f t="shared" si="7"/>
        <v>0</v>
      </c>
      <c r="F24" s="282">
        <f t="shared" si="7"/>
        <v>0</v>
      </c>
      <c r="G24" s="282">
        <f t="shared" si="7"/>
        <v>0</v>
      </c>
      <c r="H24" s="282">
        <f t="shared" si="7"/>
        <v>0</v>
      </c>
      <c r="I24" s="282">
        <f t="shared" si="7"/>
        <v>0</v>
      </c>
      <c r="J24" s="282">
        <f t="shared" si="7"/>
        <v>0</v>
      </c>
      <c r="K24" s="282">
        <f t="shared" si="7"/>
        <v>0</v>
      </c>
      <c r="L24" s="282">
        <f t="shared" si="7"/>
        <v>0</v>
      </c>
      <c r="M24" s="282">
        <f t="shared" si="7"/>
        <v>0</v>
      </c>
      <c r="N24" s="282">
        <f t="shared" si="7"/>
        <v>0</v>
      </c>
    </row>
    <row r="25" spans="1:14" x14ac:dyDescent="0.25">
      <c r="A25" s="276" t="s">
        <v>29</v>
      </c>
      <c r="B25" s="277">
        <f t="shared" ref="B25:N25" si="8">B19+B24+0</f>
        <v>-1163</v>
      </c>
      <c r="C25" s="277">
        <f t="shared" si="8"/>
        <v>-313</v>
      </c>
      <c r="D25" s="277">
        <f t="shared" si="8"/>
        <v>-673</v>
      </c>
      <c r="E25" s="277">
        <f t="shared" si="8"/>
        <v>-173</v>
      </c>
      <c r="F25" s="277">
        <f t="shared" si="8"/>
        <v>-173</v>
      </c>
      <c r="G25" s="277">
        <f t="shared" si="8"/>
        <v>-173</v>
      </c>
      <c r="H25" s="277">
        <f t="shared" si="8"/>
        <v>-1263</v>
      </c>
      <c r="I25" s="277">
        <f t="shared" si="8"/>
        <v>-677</v>
      </c>
      <c r="J25" s="277">
        <f t="shared" si="8"/>
        <v>-123</v>
      </c>
      <c r="K25" s="277">
        <f t="shared" si="8"/>
        <v>-123</v>
      </c>
      <c r="L25" s="277">
        <f t="shared" si="8"/>
        <v>-123</v>
      </c>
      <c r="M25" s="277">
        <f t="shared" si="8"/>
        <v>-23</v>
      </c>
      <c r="N25" s="277">
        <f t="shared" si="8"/>
        <v>-5000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0B91-2412-4C44-882B-6A0B9B915488}">
  <sheetPr codeName="Sheet14">
    <tabColor rgb="FFFFC000"/>
    <pageSetUpPr fitToPage="1"/>
  </sheetPr>
  <dimension ref="A1:N52"/>
  <sheetViews>
    <sheetView topLeftCell="A24" zoomScale="111" workbookViewId="0">
      <selection activeCell="A44" sqref="A44"/>
    </sheetView>
  </sheetViews>
  <sheetFormatPr defaultColWidth="6.5" defaultRowHeight="15.75" x14ac:dyDescent="0.25"/>
  <cols>
    <col min="1" max="1" width="55.625" bestFit="1" customWidth="1"/>
    <col min="2" max="2" width="10.875" bestFit="1" customWidth="1"/>
    <col min="3" max="3" width="9.125" bestFit="1" customWidth="1"/>
    <col min="4" max="4" width="9.625" bestFit="1" customWidth="1"/>
    <col min="5" max="5" width="9.125" bestFit="1" customWidth="1"/>
    <col min="6" max="6" width="9.875" bestFit="1" customWidth="1"/>
    <col min="7" max="10" width="9.125" bestFit="1" customWidth="1"/>
    <col min="11" max="11" width="9.875" bestFit="1" customWidth="1"/>
    <col min="12" max="13" width="9.125" bestFit="1" customWidth="1"/>
    <col min="14" max="14" width="9.62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338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339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44927</v>
      </c>
      <c r="C6" s="181">
        <v>44958</v>
      </c>
      <c r="D6" s="181">
        <v>44986</v>
      </c>
      <c r="E6" s="181">
        <v>45017</v>
      </c>
      <c r="F6" s="181">
        <v>45047</v>
      </c>
      <c r="G6" s="181">
        <v>45078</v>
      </c>
      <c r="H6" s="181">
        <v>45108</v>
      </c>
      <c r="I6" s="181">
        <v>45139</v>
      </c>
      <c r="J6" s="181">
        <v>45170</v>
      </c>
      <c r="K6" s="181">
        <v>45200</v>
      </c>
      <c r="L6" s="181">
        <v>45231</v>
      </c>
      <c r="M6" s="181">
        <v>45261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229" t="s">
        <v>340</v>
      </c>
      <c r="B11" s="230">
        <v>0</v>
      </c>
      <c r="C11" s="230">
        <v>0</v>
      </c>
      <c r="D11" s="230">
        <v>0</v>
      </c>
      <c r="E11" s="230">
        <v>500</v>
      </c>
      <c r="F11" s="230">
        <v>0</v>
      </c>
      <c r="G11" s="230">
        <v>500</v>
      </c>
      <c r="H11" s="230">
        <v>0</v>
      </c>
      <c r="I11" s="230">
        <v>0</v>
      </c>
      <c r="J11" s="230">
        <v>500</v>
      </c>
      <c r="K11" s="230">
        <v>0</v>
      </c>
      <c r="L11" s="230">
        <v>0</v>
      </c>
      <c r="M11" s="230">
        <v>0</v>
      </c>
      <c r="N11" s="165">
        <f>SUM(B11:M11)</f>
        <v>1500</v>
      </c>
    </row>
    <row r="12" spans="1:14" x14ac:dyDescent="0.25">
      <c r="A12" s="229" t="s">
        <v>323</v>
      </c>
      <c r="B12" s="230">
        <v>7000</v>
      </c>
      <c r="C12" s="230">
        <v>0</v>
      </c>
      <c r="D12" s="230">
        <v>0</v>
      </c>
      <c r="E12" s="230">
        <v>0</v>
      </c>
      <c r="F12" s="230">
        <v>7000</v>
      </c>
      <c r="G12" s="230">
        <v>0</v>
      </c>
      <c r="H12" s="230">
        <v>0</v>
      </c>
      <c r="I12" s="230">
        <v>7000</v>
      </c>
      <c r="J12" s="230">
        <v>7000</v>
      </c>
      <c r="K12" s="230">
        <v>0</v>
      </c>
      <c r="L12" s="230">
        <v>0</v>
      </c>
      <c r="M12" s="230">
        <v>0</v>
      </c>
      <c r="N12" s="165">
        <f t="shared" ref="N12:N30" si="1">SUM(B12:M12)</f>
        <v>28000</v>
      </c>
    </row>
    <row r="13" spans="1:14" x14ac:dyDescent="0.25">
      <c r="A13" s="229" t="s">
        <v>335</v>
      </c>
      <c r="B13" s="230">
        <v>1800</v>
      </c>
      <c r="C13" s="230">
        <v>800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165">
        <f t="shared" si="1"/>
        <v>2600</v>
      </c>
    </row>
    <row r="14" spans="1:14" x14ac:dyDescent="0.25">
      <c r="A14" s="229" t="s">
        <v>341</v>
      </c>
      <c r="B14" s="230">
        <v>0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165">
        <f t="shared" si="1"/>
        <v>0</v>
      </c>
    </row>
    <row r="15" spans="1:14" x14ac:dyDescent="0.25">
      <c r="A15" s="229" t="s">
        <v>336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2500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165">
        <f>SUM(B15:M15)</f>
        <v>2500</v>
      </c>
    </row>
    <row r="16" spans="1:14" x14ac:dyDescent="0.25">
      <c r="A16" s="229" t="s">
        <v>337</v>
      </c>
      <c r="B16" s="230">
        <v>2150</v>
      </c>
      <c r="C16" s="230">
        <v>2150</v>
      </c>
      <c r="D16" s="230">
        <v>2150</v>
      </c>
      <c r="E16" s="230">
        <v>2150</v>
      </c>
      <c r="F16" s="230">
        <v>2150</v>
      </c>
      <c r="G16" s="230">
        <v>2150</v>
      </c>
      <c r="H16" s="230">
        <v>2150</v>
      </c>
      <c r="I16" s="230">
        <v>2150</v>
      </c>
      <c r="J16" s="230">
        <v>2150</v>
      </c>
      <c r="K16" s="230">
        <v>50000</v>
      </c>
      <c r="L16" s="230">
        <v>2150</v>
      </c>
      <c r="M16" s="230">
        <v>2150</v>
      </c>
      <c r="N16" s="165">
        <f t="shared" si="1"/>
        <v>73650</v>
      </c>
    </row>
    <row r="17" spans="1:14" x14ac:dyDescent="0.25">
      <c r="A17" s="229" t="s">
        <v>25</v>
      </c>
      <c r="B17" s="230">
        <v>0</v>
      </c>
      <c r="C17" s="230">
        <v>100</v>
      </c>
      <c r="D17" s="230">
        <v>100</v>
      </c>
      <c r="E17" s="230">
        <v>100</v>
      </c>
      <c r="F17" s="230">
        <v>100</v>
      </c>
      <c r="G17" s="230">
        <v>100</v>
      </c>
      <c r="H17" s="230">
        <v>100</v>
      </c>
      <c r="I17" s="230">
        <v>100</v>
      </c>
      <c r="J17" s="230">
        <v>100</v>
      </c>
      <c r="K17" s="230">
        <v>100</v>
      </c>
      <c r="L17" s="230">
        <v>100</v>
      </c>
      <c r="M17" s="230">
        <v>0</v>
      </c>
      <c r="N17" s="165">
        <f t="shared" si="1"/>
        <v>1000</v>
      </c>
    </row>
    <row r="18" spans="1:14" x14ac:dyDescent="0.25">
      <c r="A18" s="229" t="s">
        <v>206</v>
      </c>
      <c r="B18" s="230">
        <v>360</v>
      </c>
      <c r="C18" s="230">
        <v>360</v>
      </c>
      <c r="D18" s="230">
        <v>360</v>
      </c>
      <c r="E18" s="230">
        <v>360</v>
      </c>
      <c r="F18" s="230">
        <v>360</v>
      </c>
      <c r="G18" s="230">
        <v>360</v>
      </c>
      <c r="H18" s="230">
        <v>360</v>
      </c>
      <c r="I18" s="230">
        <v>360</v>
      </c>
      <c r="J18" s="230">
        <v>360</v>
      </c>
      <c r="K18" s="230">
        <v>360</v>
      </c>
      <c r="L18" s="230">
        <v>360</v>
      </c>
      <c r="M18" s="230">
        <v>360</v>
      </c>
      <c r="N18" s="165">
        <f t="shared" si="1"/>
        <v>4320</v>
      </c>
    </row>
    <row r="19" spans="1:14" x14ac:dyDescent="0.25">
      <c r="A19" s="229" t="s">
        <v>207</v>
      </c>
      <c r="B19" s="230">
        <v>20</v>
      </c>
      <c r="C19" s="230">
        <v>20</v>
      </c>
      <c r="D19" s="230">
        <v>20</v>
      </c>
      <c r="E19" s="230">
        <v>20</v>
      </c>
      <c r="F19" s="230">
        <v>20</v>
      </c>
      <c r="G19" s="230">
        <v>20</v>
      </c>
      <c r="H19" s="230">
        <v>20</v>
      </c>
      <c r="I19" s="230">
        <v>20</v>
      </c>
      <c r="J19" s="230">
        <v>20</v>
      </c>
      <c r="K19" s="230">
        <v>20</v>
      </c>
      <c r="L19" s="230">
        <v>20</v>
      </c>
      <c r="M19" s="230">
        <v>20</v>
      </c>
      <c r="N19" s="165">
        <f t="shared" si="1"/>
        <v>240</v>
      </c>
    </row>
    <row r="20" spans="1:14" x14ac:dyDescent="0.25">
      <c r="A20" s="229" t="s">
        <v>318</v>
      </c>
      <c r="B20" s="230">
        <v>0</v>
      </c>
      <c r="C20" s="230">
        <v>0</v>
      </c>
      <c r="D20" s="230">
        <v>500</v>
      </c>
      <c r="E20" s="230">
        <v>500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500</v>
      </c>
      <c r="L20" s="230">
        <v>500</v>
      </c>
      <c r="M20" s="230">
        <v>0</v>
      </c>
      <c r="N20" s="165">
        <f t="shared" si="1"/>
        <v>2000</v>
      </c>
    </row>
    <row r="21" spans="1:14" x14ac:dyDescent="0.25">
      <c r="A21" s="229" t="s">
        <v>208</v>
      </c>
      <c r="B21" s="230">
        <v>55</v>
      </c>
      <c r="C21" s="230">
        <v>55</v>
      </c>
      <c r="D21" s="230">
        <v>55</v>
      </c>
      <c r="E21" s="230">
        <v>55</v>
      </c>
      <c r="F21" s="230">
        <v>55</v>
      </c>
      <c r="G21" s="230">
        <v>55</v>
      </c>
      <c r="H21" s="230">
        <v>55</v>
      </c>
      <c r="I21" s="230">
        <v>55</v>
      </c>
      <c r="J21" s="230">
        <v>55</v>
      </c>
      <c r="K21" s="230">
        <v>55</v>
      </c>
      <c r="L21" s="230">
        <v>55</v>
      </c>
      <c r="M21" s="230">
        <v>55</v>
      </c>
      <c r="N21" s="165">
        <f t="shared" si="1"/>
        <v>660</v>
      </c>
    </row>
    <row r="22" spans="1:14" x14ac:dyDescent="0.25">
      <c r="A22" s="229" t="s">
        <v>257</v>
      </c>
      <c r="B22" s="230">
        <v>30</v>
      </c>
      <c r="C22" s="230">
        <v>30</v>
      </c>
      <c r="D22" s="230">
        <v>30</v>
      </c>
      <c r="E22" s="230">
        <v>30</v>
      </c>
      <c r="F22" s="230">
        <v>30</v>
      </c>
      <c r="G22" s="230">
        <v>30</v>
      </c>
      <c r="H22" s="230">
        <v>30</v>
      </c>
      <c r="I22" s="230">
        <v>30</v>
      </c>
      <c r="J22" s="230">
        <v>30</v>
      </c>
      <c r="K22" s="230">
        <v>30</v>
      </c>
      <c r="L22" s="230">
        <v>30</v>
      </c>
      <c r="M22" s="230">
        <v>30</v>
      </c>
      <c r="N22" s="165">
        <f t="shared" si="1"/>
        <v>360</v>
      </c>
    </row>
    <row r="23" spans="1:14" x14ac:dyDescent="0.25">
      <c r="A23" s="229" t="s">
        <v>258</v>
      </c>
      <c r="B23" s="230">
        <v>1000</v>
      </c>
      <c r="C23" s="230">
        <v>0</v>
      </c>
      <c r="D23" s="230">
        <v>0</v>
      </c>
      <c r="E23" s="230">
        <v>0</v>
      </c>
      <c r="F23" s="230">
        <v>0</v>
      </c>
      <c r="G23" s="230">
        <v>0</v>
      </c>
      <c r="H23" s="230">
        <v>125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165">
        <f t="shared" si="1"/>
        <v>1125</v>
      </c>
    </row>
    <row r="24" spans="1:14" x14ac:dyDescent="0.25">
      <c r="A24" s="229" t="s">
        <v>319</v>
      </c>
      <c r="B24" s="230">
        <v>0</v>
      </c>
      <c r="C24" s="230">
        <v>80</v>
      </c>
      <c r="D24" s="230">
        <v>0</v>
      </c>
      <c r="E24" s="230">
        <v>0</v>
      </c>
      <c r="F24" s="230">
        <v>0</v>
      </c>
      <c r="G24" s="230">
        <v>0</v>
      </c>
      <c r="H24" s="230">
        <v>80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165">
        <f t="shared" si="1"/>
        <v>160</v>
      </c>
    </row>
    <row r="25" spans="1:14" x14ac:dyDescent="0.25">
      <c r="A25" s="229" t="s">
        <v>260</v>
      </c>
      <c r="B25" s="230">
        <v>2000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165">
        <f t="shared" si="1"/>
        <v>2000</v>
      </c>
    </row>
    <row r="26" spans="1:14" x14ac:dyDescent="0.25">
      <c r="A26" s="229" t="s">
        <v>342</v>
      </c>
      <c r="B26" s="230">
        <v>0</v>
      </c>
      <c r="C26" s="230">
        <v>70</v>
      </c>
      <c r="D26" s="230">
        <v>70</v>
      </c>
      <c r="E26" s="230">
        <v>70</v>
      </c>
      <c r="F26" s="230">
        <v>70</v>
      </c>
      <c r="G26" s="230">
        <v>70</v>
      </c>
      <c r="H26" s="230">
        <v>70</v>
      </c>
      <c r="I26" s="230">
        <v>70</v>
      </c>
      <c r="J26" s="230">
        <v>70</v>
      </c>
      <c r="K26" s="230">
        <v>70</v>
      </c>
      <c r="L26" s="230">
        <v>70</v>
      </c>
      <c r="M26" s="230">
        <v>0</v>
      </c>
      <c r="N26" s="165">
        <f t="shared" si="1"/>
        <v>700</v>
      </c>
    </row>
    <row r="27" spans="1:14" x14ac:dyDescent="0.25">
      <c r="A27" s="229" t="s">
        <v>263</v>
      </c>
      <c r="B27" s="230">
        <v>23</v>
      </c>
      <c r="C27" s="230">
        <v>23</v>
      </c>
      <c r="D27" s="230">
        <v>23</v>
      </c>
      <c r="E27" s="230">
        <v>23</v>
      </c>
      <c r="F27" s="230">
        <v>23</v>
      </c>
      <c r="G27" s="230">
        <v>23</v>
      </c>
      <c r="H27" s="230">
        <v>23</v>
      </c>
      <c r="I27" s="230">
        <v>23</v>
      </c>
      <c r="J27" s="230">
        <v>23</v>
      </c>
      <c r="K27" s="230">
        <v>23</v>
      </c>
      <c r="L27" s="230">
        <v>23</v>
      </c>
      <c r="M27" s="230">
        <v>23</v>
      </c>
      <c r="N27" s="165">
        <f t="shared" si="1"/>
        <v>276</v>
      </c>
    </row>
    <row r="28" spans="1:14" x14ac:dyDescent="0.25">
      <c r="A28" s="229" t="s">
        <v>330</v>
      </c>
      <c r="B28" s="230">
        <v>0</v>
      </c>
      <c r="C28" s="230">
        <v>0</v>
      </c>
      <c r="D28" s="230">
        <v>0</v>
      </c>
      <c r="E28" s="230">
        <v>0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8000</v>
      </c>
      <c r="N28" s="165">
        <f t="shared" si="1"/>
        <v>8000</v>
      </c>
    </row>
    <row r="29" spans="1:14" x14ac:dyDescent="0.25">
      <c r="A29" s="229" t="s">
        <v>213</v>
      </c>
      <c r="B29" s="230">
        <v>0</v>
      </c>
      <c r="C29" s="230">
        <v>50</v>
      </c>
      <c r="D29" s="230">
        <v>50</v>
      </c>
      <c r="E29" s="230">
        <v>50</v>
      </c>
      <c r="F29" s="230">
        <v>50</v>
      </c>
      <c r="G29" s="230">
        <v>50</v>
      </c>
      <c r="H29" s="230">
        <v>50</v>
      </c>
      <c r="I29" s="230">
        <v>50</v>
      </c>
      <c r="J29" s="230">
        <v>50</v>
      </c>
      <c r="K29" s="230">
        <v>50</v>
      </c>
      <c r="L29" s="230">
        <v>50</v>
      </c>
      <c r="M29" s="230">
        <v>0</v>
      </c>
      <c r="N29" s="165">
        <f t="shared" si="1"/>
        <v>500</v>
      </c>
    </row>
    <row r="30" spans="1:14" x14ac:dyDescent="0.25">
      <c r="A30" s="229" t="s">
        <v>268</v>
      </c>
      <c r="B30" s="230">
        <v>76.05</v>
      </c>
      <c r="C30" s="230">
        <v>76.05</v>
      </c>
      <c r="D30" s="230">
        <v>76.05</v>
      </c>
      <c r="E30" s="230">
        <v>76.05</v>
      </c>
      <c r="F30" s="230">
        <v>76.05</v>
      </c>
      <c r="G30" s="230">
        <v>76.05</v>
      </c>
      <c r="H30" s="230">
        <v>76.05</v>
      </c>
      <c r="I30" s="230">
        <v>76.05</v>
      </c>
      <c r="J30" s="230">
        <v>76.05</v>
      </c>
      <c r="K30" s="230">
        <v>76.05</v>
      </c>
      <c r="L30" s="230">
        <v>76.05</v>
      </c>
      <c r="M30" s="230">
        <v>76.05</v>
      </c>
      <c r="N30" s="165">
        <f t="shared" si="1"/>
        <v>912.5999999999998</v>
      </c>
    </row>
    <row r="31" spans="1:14" x14ac:dyDescent="0.25">
      <c r="A31" s="166" t="s">
        <v>190</v>
      </c>
      <c r="B31" s="167">
        <f t="shared" ref="B31:N31" si="2">SUM(B11:B30)</f>
        <v>14514.05</v>
      </c>
      <c r="C31" s="167">
        <f t="shared" si="2"/>
        <v>3814.05</v>
      </c>
      <c r="D31" s="167">
        <f t="shared" si="2"/>
        <v>3434.05</v>
      </c>
      <c r="E31" s="167">
        <f t="shared" si="2"/>
        <v>3934.05</v>
      </c>
      <c r="F31" s="167">
        <f t="shared" si="2"/>
        <v>9934.0499999999993</v>
      </c>
      <c r="G31" s="167">
        <f t="shared" si="2"/>
        <v>3434.05</v>
      </c>
      <c r="H31" s="167">
        <f t="shared" si="2"/>
        <v>5639.05</v>
      </c>
      <c r="I31" s="167">
        <f t="shared" si="2"/>
        <v>9934.0499999999993</v>
      </c>
      <c r="J31" s="167">
        <f t="shared" si="2"/>
        <v>10434.049999999999</v>
      </c>
      <c r="K31" s="167">
        <f t="shared" si="2"/>
        <v>51284.05</v>
      </c>
      <c r="L31" s="167">
        <f t="shared" si="2"/>
        <v>3434.05</v>
      </c>
      <c r="M31" s="167">
        <f t="shared" si="2"/>
        <v>10714.05</v>
      </c>
      <c r="N31" s="167">
        <f t="shared" si="2"/>
        <v>130503.6</v>
      </c>
    </row>
    <row r="32" spans="1:14" x14ac:dyDescent="0.25">
      <c r="A32" s="163" t="s">
        <v>216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 x14ac:dyDescent="0.25">
      <c r="A33" s="164" t="s">
        <v>217</v>
      </c>
      <c r="B33" s="165">
        <f>PRES!B25*0.6</f>
        <v>1955.6691128404668</v>
      </c>
      <c r="C33" s="165">
        <f>PRES!C25*0.6</f>
        <v>2058.59906614786</v>
      </c>
      <c r="D33" s="165">
        <f>PRES!D25*0.6</f>
        <v>2161.5290194552531</v>
      </c>
      <c r="E33" s="165">
        <f>PRES!E25*0.6</f>
        <v>2264.4589727626458</v>
      </c>
      <c r="F33" s="165">
        <f>PRES!F25*0.6</f>
        <v>2367.3889260700389</v>
      </c>
      <c r="G33" s="165">
        <f>PRES!G25*0.6</f>
        <v>2058.59906614786</v>
      </c>
      <c r="H33" s="165">
        <f>PRES!H25*0.6</f>
        <v>2367.3889260700389</v>
      </c>
      <c r="I33" s="165">
        <f>PRES!I25*0.6</f>
        <v>2264.4589727626458</v>
      </c>
      <c r="J33" s="165">
        <f>PRES!J25*0.6</f>
        <v>2161.5290194552531</v>
      </c>
      <c r="K33" s="165">
        <f>PRES!K25*0.6</f>
        <v>2367.3889260700389</v>
      </c>
      <c r="L33" s="165">
        <f>PRES!L25*0.6</f>
        <v>2161.5290194552531</v>
      </c>
      <c r="M33" s="165">
        <f>PRES!M25*0.6</f>
        <v>2264.4589727626458</v>
      </c>
      <c r="N33" s="165">
        <f>SUM(B33:M33)</f>
        <v>26452.998</v>
      </c>
    </row>
    <row r="34" spans="1:14" x14ac:dyDescent="0.25">
      <c r="A34" s="164" t="s">
        <v>218</v>
      </c>
      <c r="B34" s="165">
        <f>PRES!B26*0.6</f>
        <v>250.85162389593685</v>
      </c>
      <c r="C34" s="165">
        <f>PRES!C26*0.6</f>
        <v>264.0543409430914</v>
      </c>
      <c r="D34" s="165">
        <f>PRES!D26*0.6</f>
        <v>277.25705799024598</v>
      </c>
      <c r="E34" s="165">
        <f>PRES!E26*0.6</f>
        <v>290.45977503740056</v>
      </c>
      <c r="F34" s="165">
        <f>PRES!F26*0.6</f>
        <v>303.66249208455514</v>
      </c>
      <c r="G34" s="165">
        <f>PRES!G26*0.6</f>
        <v>264.0543409430914</v>
      </c>
      <c r="H34" s="165">
        <f>PRES!H26*0.6</f>
        <v>303.66249208455514</v>
      </c>
      <c r="I34" s="165">
        <f>PRES!I26*0.6</f>
        <v>290.45977503740056</v>
      </c>
      <c r="J34" s="165">
        <f>PRES!J26*0.6</f>
        <v>277.25705799024598</v>
      </c>
      <c r="K34" s="165">
        <f>PRES!K26*0.6</f>
        <v>303.66249208455514</v>
      </c>
      <c r="L34" s="165">
        <f>PRES!L26*0.6</f>
        <v>277.25705799024598</v>
      </c>
      <c r="M34" s="165">
        <f>PRES!M26*0.6</f>
        <v>290.45977503740056</v>
      </c>
      <c r="N34" s="165">
        <f>SUM(B34:M34)</f>
        <v>3393.0982811187246</v>
      </c>
    </row>
    <row r="35" spans="1:14" x14ac:dyDescent="0.25">
      <c r="A35" s="164" t="s">
        <v>219</v>
      </c>
      <c r="B35" s="165">
        <f>PRES!B27*0.6</f>
        <v>20.722525452273043</v>
      </c>
      <c r="C35" s="165">
        <f>PRES!C27*0.6</f>
        <v>21.813184686603208</v>
      </c>
      <c r="D35" s="165">
        <f>PRES!D27*0.6</f>
        <v>22.903843920933365</v>
      </c>
      <c r="E35" s="165">
        <f>PRES!E27*0.6</f>
        <v>23.994503155263526</v>
      </c>
      <c r="F35" s="165">
        <f>PRES!F27*0.6</f>
        <v>25.085162389593687</v>
      </c>
      <c r="G35" s="165">
        <f>PRES!G27*0.6</f>
        <v>21.813184686603208</v>
      </c>
      <c r="H35" s="165">
        <f>PRES!H27*0.6</f>
        <v>25.085162389593687</v>
      </c>
      <c r="I35" s="165">
        <f>PRES!I27*0.6</f>
        <v>23.994503155263526</v>
      </c>
      <c r="J35" s="165">
        <f>PRES!J27*0.6</f>
        <v>22.903843920933365</v>
      </c>
      <c r="K35" s="165">
        <f>PRES!K27*0.6</f>
        <v>25.085162389593687</v>
      </c>
      <c r="L35" s="165">
        <f>PRES!L27*0.6</f>
        <v>22.903843920933365</v>
      </c>
      <c r="M35" s="165">
        <f>PRES!M27*0.6</f>
        <v>23.994503155263526</v>
      </c>
      <c r="N35" s="165">
        <f>SUM(B35:M35)</f>
        <v>280.2994232228512</v>
      </c>
    </row>
    <row r="36" spans="1:14" x14ac:dyDescent="0.25">
      <c r="A36" s="164" t="s">
        <v>221</v>
      </c>
      <c r="B36" s="165">
        <f>PRES!B29*0.6</f>
        <v>48.891727821011678</v>
      </c>
      <c r="C36" s="165">
        <f>PRES!C29*0.6</f>
        <v>51.464976653696503</v>
      </c>
      <c r="D36" s="165">
        <f>PRES!D29*0.6</f>
        <v>54.038225486381329</v>
      </c>
      <c r="E36" s="165">
        <f>PRES!E29*0.6</f>
        <v>56.611474319066154</v>
      </c>
      <c r="F36" s="165">
        <f>PRES!F29*0.6</f>
        <v>59.184723151750973</v>
      </c>
      <c r="G36" s="165">
        <f>PRES!G29*0.6</f>
        <v>51.464976653696503</v>
      </c>
      <c r="H36" s="165">
        <f>PRES!H29*0.6</f>
        <v>59.184723151750973</v>
      </c>
      <c r="I36" s="165">
        <f>PRES!I29*0.6</f>
        <v>56.611474319066154</v>
      </c>
      <c r="J36" s="165">
        <f>PRES!J29*0.6</f>
        <v>54.038225486381329</v>
      </c>
      <c r="K36" s="165">
        <f>PRES!K29*0.6</f>
        <v>59.184723151750973</v>
      </c>
      <c r="L36" s="165">
        <f>PRES!L29*0.6</f>
        <v>54.038225486381329</v>
      </c>
      <c r="M36" s="165">
        <f>PRES!M29*0.6</f>
        <v>56.611474319066154</v>
      </c>
      <c r="N36" s="165">
        <f>SUM(B36:M36)</f>
        <v>661.32494999999994</v>
      </c>
    </row>
    <row r="37" spans="1:14" x14ac:dyDescent="0.25">
      <c r="A37" s="166" t="s">
        <v>222</v>
      </c>
      <c r="B37" s="167">
        <f t="shared" ref="B37:N37" si="3">SUM(B33:B36)</f>
        <v>2276.1349900096884</v>
      </c>
      <c r="C37" s="167">
        <f t="shared" si="3"/>
        <v>2395.931568431251</v>
      </c>
      <c r="D37" s="167">
        <f t="shared" si="3"/>
        <v>2515.7281468528136</v>
      </c>
      <c r="E37" s="167">
        <f t="shared" si="3"/>
        <v>2635.5247252743757</v>
      </c>
      <c r="F37" s="167">
        <f t="shared" si="3"/>
        <v>2755.3213036959387</v>
      </c>
      <c r="G37" s="167">
        <f t="shared" si="3"/>
        <v>2395.931568431251</v>
      </c>
      <c r="H37" s="167">
        <f t="shared" si="3"/>
        <v>2755.3213036959387</v>
      </c>
      <c r="I37" s="167">
        <f t="shared" si="3"/>
        <v>2635.5247252743757</v>
      </c>
      <c r="J37" s="167">
        <f t="shared" si="3"/>
        <v>2515.7281468528136</v>
      </c>
      <c r="K37" s="167">
        <f t="shared" si="3"/>
        <v>2755.3213036959387</v>
      </c>
      <c r="L37" s="167">
        <f t="shared" si="3"/>
        <v>2515.7281468528136</v>
      </c>
      <c r="M37" s="167">
        <f t="shared" si="3"/>
        <v>2635.5247252743757</v>
      </c>
      <c r="N37" s="167">
        <f t="shared" si="3"/>
        <v>30787.720654341574</v>
      </c>
    </row>
    <row r="38" spans="1:14" x14ac:dyDescent="0.25">
      <c r="A38" s="168" t="s">
        <v>191</v>
      </c>
      <c r="B38" s="167">
        <f t="shared" ref="B38:N38" si="4">SUM(B31,B37)</f>
        <v>16790.184990009686</v>
      </c>
      <c r="C38" s="167">
        <f t="shared" si="4"/>
        <v>6209.9815684312507</v>
      </c>
      <c r="D38" s="167">
        <f t="shared" si="4"/>
        <v>5949.7781468528137</v>
      </c>
      <c r="E38" s="167">
        <f t="shared" si="4"/>
        <v>6569.5747252743759</v>
      </c>
      <c r="F38" s="167">
        <f t="shared" si="4"/>
        <v>12689.371303695938</v>
      </c>
      <c r="G38" s="167">
        <f t="shared" si="4"/>
        <v>5829.9815684312507</v>
      </c>
      <c r="H38" s="167">
        <f t="shared" si="4"/>
        <v>8394.371303695938</v>
      </c>
      <c r="I38" s="167">
        <f t="shared" si="4"/>
        <v>12569.574725274375</v>
      </c>
      <c r="J38" s="167">
        <f t="shared" si="4"/>
        <v>12949.778146852812</v>
      </c>
      <c r="K38" s="167">
        <f t="shared" si="4"/>
        <v>54039.371303695938</v>
      </c>
      <c r="L38" s="167">
        <f t="shared" si="4"/>
        <v>5949.7781468528137</v>
      </c>
      <c r="M38" s="167">
        <f t="shared" si="4"/>
        <v>13349.574725274375</v>
      </c>
      <c r="N38" s="167">
        <f t="shared" si="4"/>
        <v>161291.32065434157</v>
      </c>
    </row>
    <row r="39" spans="1:14" x14ac:dyDescent="0.25">
      <c r="A39" s="159" t="s">
        <v>192</v>
      </c>
      <c r="B39" s="160">
        <f t="shared" ref="B39:N39" si="5">B8-B38</f>
        <v>-16790.184990009686</v>
      </c>
      <c r="C39" s="160">
        <f t="shared" si="5"/>
        <v>-6209.9815684312507</v>
      </c>
      <c r="D39" s="160">
        <f t="shared" si="5"/>
        <v>-5949.7781468528137</v>
      </c>
      <c r="E39" s="160">
        <f t="shared" si="5"/>
        <v>-6569.5747252743759</v>
      </c>
      <c r="F39" s="160">
        <f t="shared" si="5"/>
        <v>-12689.371303695938</v>
      </c>
      <c r="G39" s="160">
        <f t="shared" si="5"/>
        <v>-5829.9815684312507</v>
      </c>
      <c r="H39" s="160">
        <f t="shared" si="5"/>
        <v>-8394.371303695938</v>
      </c>
      <c r="I39" s="160">
        <f t="shared" si="5"/>
        <v>-12569.574725274375</v>
      </c>
      <c r="J39" s="160">
        <f t="shared" si="5"/>
        <v>-12949.778146852812</v>
      </c>
      <c r="K39" s="160">
        <f t="shared" si="5"/>
        <v>-54039.371303695938</v>
      </c>
      <c r="L39" s="160">
        <f t="shared" si="5"/>
        <v>-5949.7781468528137</v>
      </c>
      <c r="M39" s="160">
        <f t="shared" si="5"/>
        <v>-13349.574725274375</v>
      </c>
      <c r="N39" s="160">
        <f t="shared" si="5"/>
        <v>-161291.32065434157</v>
      </c>
    </row>
    <row r="40" spans="1:14" x14ac:dyDescent="0.25">
      <c r="A40" s="161" t="s">
        <v>193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14" x14ac:dyDescent="0.25">
      <c r="A41" s="163" t="s">
        <v>196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</row>
    <row r="42" spans="1:14" x14ac:dyDescent="0.25">
      <c r="A42" s="164" t="s">
        <v>321</v>
      </c>
      <c r="B42" s="230">
        <v>0</v>
      </c>
      <c r="C42" s="230">
        <v>0</v>
      </c>
      <c r="D42" s="230">
        <v>0</v>
      </c>
      <c r="E42" s="230">
        <v>0</v>
      </c>
      <c r="F42" s="230">
        <v>0</v>
      </c>
      <c r="G42" s="230">
        <v>0</v>
      </c>
      <c r="H42" s="230">
        <v>0</v>
      </c>
      <c r="I42" s="230">
        <v>5000</v>
      </c>
      <c r="J42" s="230">
        <v>0</v>
      </c>
      <c r="K42" s="230">
        <v>0</v>
      </c>
      <c r="L42" s="230">
        <v>0</v>
      </c>
      <c r="M42" s="230">
        <v>0</v>
      </c>
      <c r="N42" s="165">
        <f>SUM(B42:M42)</f>
        <v>5000</v>
      </c>
    </row>
    <row r="43" spans="1:14" x14ac:dyDescent="0.25">
      <c r="A43" s="164" t="s">
        <v>224</v>
      </c>
      <c r="B43" s="230">
        <v>0</v>
      </c>
      <c r="C43" s="230">
        <v>0</v>
      </c>
      <c r="D43" s="230">
        <v>0</v>
      </c>
      <c r="E43" s="230">
        <v>0</v>
      </c>
      <c r="F43" s="230">
        <v>540</v>
      </c>
      <c r="G43" s="230">
        <v>0</v>
      </c>
      <c r="H43" s="230">
        <v>0</v>
      </c>
      <c r="I43" s="230">
        <v>0</v>
      </c>
      <c r="J43" s="230">
        <v>0</v>
      </c>
      <c r="K43" s="230">
        <v>50000</v>
      </c>
      <c r="L43" s="230">
        <v>0</v>
      </c>
      <c r="M43" s="230">
        <v>0</v>
      </c>
      <c r="N43" s="165">
        <f>SUM(B43:M43)</f>
        <v>50540</v>
      </c>
    </row>
    <row r="44" spans="1:14" x14ac:dyDescent="0.25">
      <c r="A44" s="166" t="s">
        <v>197</v>
      </c>
      <c r="B44" s="167">
        <f t="shared" ref="B44:N44" si="6">SUM(B42:B43)</f>
        <v>0</v>
      </c>
      <c r="C44" s="167">
        <f t="shared" si="6"/>
        <v>0</v>
      </c>
      <c r="D44" s="167">
        <f t="shared" si="6"/>
        <v>0</v>
      </c>
      <c r="E44" s="167">
        <f t="shared" si="6"/>
        <v>0</v>
      </c>
      <c r="F44" s="167">
        <f t="shared" si="6"/>
        <v>540</v>
      </c>
      <c r="G44" s="167">
        <f t="shared" si="6"/>
        <v>0</v>
      </c>
      <c r="H44" s="167">
        <f t="shared" si="6"/>
        <v>0</v>
      </c>
      <c r="I44" s="167">
        <f t="shared" si="6"/>
        <v>5000</v>
      </c>
      <c r="J44" s="167">
        <f t="shared" si="6"/>
        <v>0</v>
      </c>
      <c r="K44" s="167">
        <f t="shared" si="6"/>
        <v>50000</v>
      </c>
      <c r="L44" s="167">
        <f t="shared" si="6"/>
        <v>0</v>
      </c>
      <c r="M44" s="167">
        <f t="shared" si="6"/>
        <v>0</v>
      </c>
      <c r="N44" s="167">
        <f t="shared" si="6"/>
        <v>55540</v>
      </c>
    </row>
    <row r="45" spans="1:14" x14ac:dyDescent="0.25">
      <c r="A45" s="168" t="s">
        <v>200</v>
      </c>
      <c r="B45" s="167">
        <f t="shared" ref="B45:N45" si="7">SUM(B44)</f>
        <v>0</v>
      </c>
      <c r="C45" s="167">
        <f t="shared" si="7"/>
        <v>0</v>
      </c>
      <c r="D45" s="167">
        <f t="shared" si="7"/>
        <v>0</v>
      </c>
      <c r="E45" s="167">
        <f t="shared" si="7"/>
        <v>0</v>
      </c>
      <c r="F45" s="167">
        <f t="shared" si="7"/>
        <v>540</v>
      </c>
      <c r="G45" s="167">
        <f t="shared" si="7"/>
        <v>0</v>
      </c>
      <c r="H45" s="167">
        <f t="shared" si="7"/>
        <v>0</v>
      </c>
      <c r="I45" s="167">
        <f t="shared" si="7"/>
        <v>5000</v>
      </c>
      <c r="J45" s="167">
        <f t="shared" si="7"/>
        <v>0</v>
      </c>
      <c r="K45" s="167">
        <f t="shared" si="7"/>
        <v>50000</v>
      </c>
      <c r="L45" s="167">
        <f t="shared" si="7"/>
        <v>0</v>
      </c>
      <c r="M45" s="167">
        <f t="shared" si="7"/>
        <v>0</v>
      </c>
      <c r="N45" s="167">
        <f t="shared" si="7"/>
        <v>55540</v>
      </c>
    </row>
    <row r="46" spans="1:14" x14ac:dyDescent="0.25">
      <c r="A46" s="159" t="s">
        <v>29</v>
      </c>
      <c r="B46" s="160">
        <f t="shared" ref="B46:N46" si="8">B39+B45+0</f>
        <v>-16790.184990009686</v>
      </c>
      <c r="C46" s="160">
        <f t="shared" si="8"/>
        <v>-6209.9815684312507</v>
      </c>
      <c r="D46" s="160">
        <f t="shared" si="8"/>
        <v>-5949.7781468528137</v>
      </c>
      <c r="E46" s="160">
        <f t="shared" si="8"/>
        <v>-6569.5747252743759</v>
      </c>
      <c r="F46" s="160">
        <f t="shared" si="8"/>
        <v>-12149.371303695938</v>
      </c>
      <c r="G46" s="160">
        <f t="shared" si="8"/>
        <v>-5829.9815684312507</v>
      </c>
      <c r="H46" s="160">
        <f t="shared" si="8"/>
        <v>-8394.371303695938</v>
      </c>
      <c r="I46" s="160">
        <f t="shared" si="8"/>
        <v>-7569.5747252743749</v>
      </c>
      <c r="J46" s="160">
        <f t="shared" si="8"/>
        <v>-12949.778146852812</v>
      </c>
      <c r="K46" s="160">
        <f t="shared" si="8"/>
        <v>-4039.371303695938</v>
      </c>
      <c r="L46" s="160">
        <f t="shared" si="8"/>
        <v>-5949.7781468528137</v>
      </c>
      <c r="M46" s="160">
        <f t="shared" si="8"/>
        <v>-13349.574725274375</v>
      </c>
      <c r="N46" s="160">
        <f t="shared" si="8"/>
        <v>-105751.32065434157</v>
      </c>
    </row>
    <row r="49" spans="1:2" x14ac:dyDescent="0.25">
      <c r="A49" s="184"/>
      <c r="B49" s="184"/>
    </row>
    <row r="50" spans="1:2" x14ac:dyDescent="0.25">
      <c r="A50" s="184"/>
      <c r="B50" s="173"/>
    </row>
    <row r="51" spans="1:2" x14ac:dyDescent="0.25">
      <c r="A51" s="184"/>
      <c r="B51" s="184"/>
    </row>
    <row r="52" spans="1:2" x14ac:dyDescent="0.25">
      <c r="A52" s="184"/>
      <c r="B52" s="173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7544-EAE8-B14D-80C9-720EB06D32B3}">
  <sheetPr codeName="Sheet12">
    <tabColor rgb="FFFFC000"/>
    <pageSetUpPr fitToPage="1"/>
  </sheetPr>
  <dimension ref="A1:N31"/>
  <sheetViews>
    <sheetView zoomScaleNormal="100" workbookViewId="0">
      <selection activeCell="D18" sqref="D18"/>
    </sheetView>
  </sheetViews>
  <sheetFormatPr defaultRowHeight="15.75" x14ac:dyDescent="0.25"/>
  <cols>
    <col min="1" max="1" width="46.125" bestFit="1" customWidth="1"/>
    <col min="2" max="12" width="7.5" bestFit="1" customWidth="1"/>
    <col min="13" max="13" width="6.125" bestFit="1" customWidth="1"/>
    <col min="14" max="14" width="8.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343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335</v>
      </c>
      <c r="B11" s="230">
        <v>300</v>
      </c>
      <c r="C11" s="230">
        <v>250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550</v>
      </c>
    </row>
    <row r="12" spans="1:14" x14ac:dyDescent="0.25">
      <c r="A12" s="229" t="s">
        <v>337</v>
      </c>
      <c r="B12" s="230">
        <v>1000</v>
      </c>
      <c r="C12" s="230">
        <v>1000</v>
      </c>
      <c r="D12" s="230">
        <v>1250</v>
      </c>
      <c r="E12" s="230">
        <v>1000</v>
      </c>
      <c r="F12" s="230">
        <v>1000</v>
      </c>
      <c r="G12" s="230">
        <v>1000</v>
      </c>
      <c r="H12" s="230">
        <v>1000</v>
      </c>
      <c r="I12" s="230">
        <v>1250</v>
      </c>
      <c r="J12" s="230">
        <v>1000</v>
      </c>
      <c r="K12" s="230">
        <v>1000</v>
      </c>
      <c r="L12" s="230">
        <v>1000</v>
      </c>
      <c r="M12" s="230">
        <v>0</v>
      </c>
      <c r="N12" s="230">
        <f t="shared" ref="N12" si="1">SUM(B12:M12)</f>
        <v>11500</v>
      </c>
    </row>
    <row r="13" spans="1:14" x14ac:dyDescent="0.25">
      <c r="A13" s="229" t="s">
        <v>25</v>
      </c>
      <c r="B13" s="230">
        <v>0</v>
      </c>
      <c r="C13" s="230">
        <v>49</v>
      </c>
      <c r="D13" s="230">
        <v>49</v>
      </c>
      <c r="E13" s="230">
        <v>49</v>
      </c>
      <c r="F13" s="230">
        <v>49</v>
      </c>
      <c r="G13" s="230">
        <v>0</v>
      </c>
      <c r="H13" s="230">
        <v>49</v>
      </c>
      <c r="I13" s="230">
        <v>49</v>
      </c>
      <c r="J13" s="230">
        <v>49</v>
      </c>
      <c r="K13" s="230">
        <v>49</v>
      </c>
      <c r="L13" s="230">
        <v>49</v>
      </c>
      <c r="M13" s="230">
        <v>0</v>
      </c>
      <c r="N13" s="230">
        <f>SUM(B13:M13)</f>
        <v>441</v>
      </c>
    </row>
    <row r="14" spans="1:14" x14ac:dyDescent="0.25">
      <c r="A14" s="229" t="s">
        <v>318</v>
      </c>
      <c r="B14" s="230">
        <v>0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f t="shared" ref="N14:N22" si="2">SUM(B14:M14)</f>
        <v>0</v>
      </c>
    </row>
    <row r="15" spans="1:14" x14ac:dyDescent="0.25">
      <c r="A15" s="229" t="s">
        <v>257</v>
      </c>
      <c r="B15" s="230">
        <v>0</v>
      </c>
      <c r="C15" s="230">
        <v>14</v>
      </c>
      <c r="D15" s="230">
        <v>14</v>
      </c>
      <c r="E15" s="230">
        <v>14</v>
      </c>
      <c r="F15" s="230">
        <v>14</v>
      </c>
      <c r="G15" s="230">
        <v>14</v>
      </c>
      <c r="H15" s="230">
        <v>14</v>
      </c>
      <c r="I15" s="230">
        <v>14</v>
      </c>
      <c r="J15" s="230">
        <v>14</v>
      </c>
      <c r="K15" s="230">
        <v>14</v>
      </c>
      <c r="L15" s="230">
        <v>14</v>
      </c>
      <c r="M15" s="230">
        <v>0</v>
      </c>
      <c r="N15" s="230">
        <f t="shared" si="2"/>
        <v>140</v>
      </c>
    </row>
    <row r="16" spans="1:14" x14ac:dyDescent="0.25">
      <c r="A16" s="229" t="s">
        <v>208</v>
      </c>
      <c r="B16" s="230">
        <v>12</v>
      </c>
      <c r="C16" s="230">
        <v>12</v>
      </c>
      <c r="D16" s="230">
        <v>12</v>
      </c>
      <c r="E16" s="230">
        <v>12</v>
      </c>
      <c r="F16" s="230">
        <v>12</v>
      </c>
      <c r="G16" s="230">
        <v>12</v>
      </c>
      <c r="H16" s="230">
        <v>12</v>
      </c>
      <c r="I16" s="230">
        <v>12</v>
      </c>
      <c r="J16" s="230">
        <v>12</v>
      </c>
      <c r="K16" s="230">
        <v>12</v>
      </c>
      <c r="L16" s="230">
        <v>12</v>
      </c>
      <c r="M16" s="230">
        <v>12</v>
      </c>
      <c r="N16" s="230">
        <f t="shared" si="2"/>
        <v>144</v>
      </c>
    </row>
    <row r="17" spans="1:14" x14ac:dyDescent="0.25">
      <c r="A17" s="229" t="s">
        <v>329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 t="shared" si="2"/>
        <v>0</v>
      </c>
    </row>
    <row r="18" spans="1:14" x14ac:dyDescent="0.25">
      <c r="A18" s="229" t="s">
        <v>260</v>
      </c>
      <c r="B18" s="230">
        <v>33</v>
      </c>
      <c r="C18" s="230">
        <v>33</v>
      </c>
      <c r="D18" s="230">
        <v>33</v>
      </c>
      <c r="E18" s="230">
        <v>33</v>
      </c>
      <c r="F18" s="230">
        <v>33</v>
      </c>
      <c r="G18" s="230">
        <v>33</v>
      </c>
      <c r="H18" s="230">
        <v>33</v>
      </c>
      <c r="I18" s="230">
        <v>33</v>
      </c>
      <c r="J18" s="230">
        <v>33</v>
      </c>
      <c r="K18" s="230">
        <v>33</v>
      </c>
      <c r="L18" s="230">
        <v>33</v>
      </c>
      <c r="M18" s="230">
        <v>33</v>
      </c>
      <c r="N18" s="230">
        <f t="shared" si="2"/>
        <v>396</v>
      </c>
    </row>
    <row r="19" spans="1:14" x14ac:dyDescent="0.25">
      <c r="A19" s="229" t="s">
        <v>342</v>
      </c>
      <c r="B19" s="230">
        <v>0</v>
      </c>
      <c r="C19" s="230">
        <v>1000</v>
      </c>
      <c r="D19" s="230">
        <v>350</v>
      </c>
      <c r="E19" s="230">
        <v>0</v>
      </c>
      <c r="F19" s="230">
        <v>0</v>
      </c>
      <c r="G19" s="230">
        <v>0</v>
      </c>
      <c r="H19" s="230">
        <v>1000</v>
      </c>
      <c r="I19" s="230">
        <v>350</v>
      </c>
      <c r="J19" s="230">
        <v>0</v>
      </c>
      <c r="K19" s="230">
        <v>0</v>
      </c>
      <c r="L19" s="230">
        <v>0</v>
      </c>
      <c r="M19" s="230">
        <v>0</v>
      </c>
      <c r="N19" s="230">
        <f t="shared" si="2"/>
        <v>2700</v>
      </c>
    </row>
    <row r="20" spans="1:14" x14ac:dyDescent="0.25">
      <c r="A20" s="229" t="s">
        <v>263</v>
      </c>
      <c r="B20" s="230">
        <v>11</v>
      </c>
      <c r="C20" s="230">
        <v>11</v>
      </c>
      <c r="D20" s="230">
        <v>11</v>
      </c>
      <c r="E20" s="230">
        <v>11</v>
      </c>
      <c r="F20" s="230">
        <v>11</v>
      </c>
      <c r="G20" s="230">
        <v>11</v>
      </c>
      <c r="H20" s="230">
        <v>11</v>
      </c>
      <c r="I20" s="230">
        <v>11</v>
      </c>
      <c r="J20" s="230">
        <v>11</v>
      </c>
      <c r="K20" s="230">
        <v>11</v>
      </c>
      <c r="L20" s="230">
        <v>11</v>
      </c>
      <c r="M20" s="230">
        <v>11</v>
      </c>
      <c r="N20" s="230">
        <f t="shared" si="2"/>
        <v>132</v>
      </c>
    </row>
    <row r="21" spans="1:14" x14ac:dyDescent="0.25">
      <c r="A21" s="229" t="s">
        <v>344</v>
      </c>
      <c r="B21" s="230">
        <v>0</v>
      </c>
      <c r="C21" s="230">
        <v>50</v>
      </c>
      <c r="D21" s="230">
        <v>50</v>
      </c>
      <c r="E21" s="230">
        <v>50</v>
      </c>
      <c r="F21" s="230">
        <v>0</v>
      </c>
      <c r="G21" s="230">
        <v>0</v>
      </c>
      <c r="H21" s="230">
        <v>50</v>
      </c>
      <c r="I21" s="230">
        <v>50</v>
      </c>
      <c r="J21" s="230">
        <v>50</v>
      </c>
      <c r="K21" s="230">
        <v>0</v>
      </c>
      <c r="L21" s="230">
        <v>0</v>
      </c>
      <c r="M21" s="230">
        <v>0</v>
      </c>
      <c r="N21" s="230">
        <f t="shared" si="2"/>
        <v>300</v>
      </c>
    </row>
    <row r="22" spans="1:14" x14ac:dyDescent="0.25">
      <c r="A22" s="229" t="s">
        <v>215</v>
      </c>
      <c r="B22" s="230">
        <v>10.62</v>
      </c>
      <c r="C22" s="230">
        <v>10.62</v>
      </c>
      <c r="D22" s="230">
        <v>10.62</v>
      </c>
      <c r="E22" s="230">
        <v>10.62</v>
      </c>
      <c r="F22" s="230">
        <v>10.62</v>
      </c>
      <c r="G22" s="230">
        <v>10.62</v>
      </c>
      <c r="H22" s="230">
        <v>10.62</v>
      </c>
      <c r="I22" s="230">
        <v>10.62</v>
      </c>
      <c r="J22" s="230">
        <v>10.62</v>
      </c>
      <c r="K22" s="230">
        <v>10.62</v>
      </c>
      <c r="L22" s="230">
        <v>10.62</v>
      </c>
      <c r="M22" s="230">
        <v>10.62</v>
      </c>
      <c r="N22" s="230">
        <f t="shared" si="2"/>
        <v>127.44000000000001</v>
      </c>
    </row>
    <row r="23" spans="1:14" x14ac:dyDescent="0.25">
      <c r="A23" s="281" t="s">
        <v>190</v>
      </c>
      <c r="B23" s="282">
        <f>SUM(B11:B22)</f>
        <v>1366.62</v>
      </c>
      <c r="C23" s="282">
        <f t="shared" ref="C23:N23" si="3">SUM(C11:C22)</f>
        <v>2429.62</v>
      </c>
      <c r="D23" s="282">
        <f t="shared" si="3"/>
        <v>1779.62</v>
      </c>
      <c r="E23" s="282">
        <f t="shared" si="3"/>
        <v>1179.6199999999999</v>
      </c>
      <c r="F23" s="282">
        <f t="shared" si="3"/>
        <v>1129.6199999999999</v>
      </c>
      <c r="G23" s="282">
        <f t="shared" si="3"/>
        <v>1080.6199999999999</v>
      </c>
      <c r="H23" s="282">
        <f t="shared" si="3"/>
        <v>2179.62</v>
      </c>
      <c r="I23" s="282">
        <f t="shared" si="3"/>
        <v>1779.62</v>
      </c>
      <c r="J23" s="282">
        <f t="shared" si="3"/>
        <v>1179.6199999999999</v>
      </c>
      <c r="K23" s="282">
        <f t="shared" si="3"/>
        <v>1129.6199999999999</v>
      </c>
      <c r="L23" s="282">
        <f t="shared" si="3"/>
        <v>1129.6199999999999</v>
      </c>
      <c r="M23" s="282">
        <f t="shared" si="3"/>
        <v>66.62</v>
      </c>
      <c r="N23" s="282">
        <f t="shared" si="3"/>
        <v>16430.439999999999</v>
      </c>
    </row>
    <row r="24" spans="1:14" x14ac:dyDescent="0.25">
      <c r="A24" s="283" t="s">
        <v>191</v>
      </c>
      <c r="B24" s="282">
        <f t="shared" ref="B24" si="4">SUM(B23)</f>
        <v>1366.62</v>
      </c>
      <c r="C24" s="282">
        <f t="shared" ref="C24:N24" si="5">SUM(C23)</f>
        <v>2429.62</v>
      </c>
      <c r="D24" s="282">
        <f t="shared" si="5"/>
        <v>1779.62</v>
      </c>
      <c r="E24" s="282">
        <f t="shared" si="5"/>
        <v>1179.6199999999999</v>
      </c>
      <c r="F24" s="282">
        <f t="shared" si="5"/>
        <v>1129.6199999999999</v>
      </c>
      <c r="G24" s="282">
        <f t="shared" si="5"/>
        <v>1080.6199999999999</v>
      </c>
      <c r="H24" s="282">
        <f t="shared" si="5"/>
        <v>2179.62</v>
      </c>
      <c r="I24" s="282">
        <f t="shared" si="5"/>
        <v>1779.62</v>
      </c>
      <c r="J24" s="282">
        <f t="shared" si="5"/>
        <v>1179.6199999999999</v>
      </c>
      <c r="K24" s="282">
        <f t="shared" si="5"/>
        <v>1129.6199999999999</v>
      </c>
      <c r="L24" s="282">
        <f t="shared" si="5"/>
        <v>1129.6199999999999</v>
      </c>
      <c r="M24" s="282">
        <f t="shared" si="5"/>
        <v>66.62</v>
      </c>
      <c r="N24" s="282">
        <f t="shared" si="5"/>
        <v>16430.439999999999</v>
      </c>
    </row>
    <row r="25" spans="1:14" x14ac:dyDescent="0.25">
      <c r="A25" s="276" t="s">
        <v>192</v>
      </c>
      <c r="B25" s="277">
        <f t="shared" ref="B25:N25" si="6">B8-B24</f>
        <v>-1366.62</v>
      </c>
      <c r="C25" s="277">
        <f t="shared" si="6"/>
        <v>-2429.62</v>
      </c>
      <c r="D25" s="277">
        <f t="shared" si="6"/>
        <v>-1779.62</v>
      </c>
      <c r="E25" s="277">
        <f t="shared" si="6"/>
        <v>-1179.6199999999999</v>
      </c>
      <c r="F25" s="277">
        <f t="shared" si="6"/>
        <v>-1129.6199999999999</v>
      </c>
      <c r="G25" s="277">
        <f t="shared" si="6"/>
        <v>-1080.6199999999999</v>
      </c>
      <c r="H25" s="277">
        <f t="shared" si="6"/>
        <v>-2179.62</v>
      </c>
      <c r="I25" s="277">
        <f t="shared" si="6"/>
        <v>-1779.62</v>
      </c>
      <c r="J25" s="277">
        <f t="shared" si="6"/>
        <v>-1179.6199999999999</v>
      </c>
      <c r="K25" s="277">
        <f t="shared" si="6"/>
        <v>-1129.6199999999999</v>
      </c>
      <c r="L25" s="277">
        <f t="shared" si="6"/>
        <v>-1129.6199999999999</v>
      </c>
      <c r="M25" s="277">
        <f t="shared" si="6"/>
        <v>-66.62</v>
      </c>
      <c r="N25" s="277">
        <f t="shared" si="6"/>
        <v>-16430.439999999999</v>
      </c>
    </row>
    <row r="26" spans="1:14" x14ac:dyDescent="0.25">
      <c r="A26" s="278" t="s">
        <v>193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</row>
    <row r="27" spans="1:14" x14ac:dyDescent="0.25">
      <c r="A27" s="280" t="s">
        <v>196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</row>
    <row r="28" spans="1:14" x14ac:dyDescent="0.25">
      <c r="A28" s="229" t="s">
        <v>224</v>
      </c>
      <c r="B28" s="230">
        <v>0</v>
      </c>
      <c r="C28" s="230">
        <v>0</v>
      </c>
      <c r="D28" s="230">
        <v>0</v>
      </c>
      <c r="E28" s="230">
        <v>0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1500</v>
      </c>
      <c r="L28" s="230">
        <v>0</v>
      </c>
      <c r="M28" s="230">
        <v>0</v>
      </c>
      <c r="N28" s="230">
        <f t="shared" ref="N28" si="7">SUM(B28:M28)</f>
        <v>1500</v>
      </c>
    </row>
    <row r="29" spans="1:14" x14ac:dyDescent="0.25">
      <c r="A29" s="281" t="s">
        <v>197</v>
      </c>
      <c r="B29" s="282">
        <f t="shared" ref="B29:N30" si="8">SUM(B28)</f>
        <v>0</v>
      </c>
      <c r="C29" s="282">
        <f t="shared" si="8"/>
        <v>0</v>
      </c>
      <c r="D29" s="282">
        <f t="shared" si="8"/>
        <v>0</v>
      </c>
      <c r="E29" s="282">
        <f t="shared" si="8"/>
        <v>0</v>
      </c>
      <c r="F29" s="282">
        <f t="shared" si="8"/>
        <v>0</v>
      </c>
      <c r="G29" s="282">
        <f t="shared" si="8"/>
        <v>0</v>
      </c>
      <c r="H29" s="282">
        <f t="shared" si="8"/>
        <v>0</v>
      </c>
      <c r="I29" s="282">
        <f t="shared" si="8"/>
        <v>0</v>
      </c>
      <c r="J29" s="282">
        <f t="shared" si="8"/>
        <v>0</v>
      </c>
      <c r="K29" s="282">
        <f t="shared" si="8"/>
        <v>1500</v>
      </c>
      <c r="L29" s="282">
        <f t="shared" si="8"/>
        <v>0</v>
      </c>
      <c r="M29" s="282">
        <f t="shared" si="8"/>
        <v>0</v>
      </c>
      <c r="N29" s="282">
        <f t="shared" si="8"/>
        <v>1500</v>
      </c>
    </row>
    <row r="30" spans="1:14" x14ac:dyDescent="0.25">
      <c r="A30" s="283" t="s">
        <v>200</v>
      </c>
      <c r="B30" s="282">
        <f t="shared" si="8"/>
        <v>0</v>
      </c>
      <c r="C30" s="282">
        <f t="shared" si="8"/>
        <v>0</v>
      </c>
      <c r="D30" s="282">
        <f t="shared" si="8"/>
        <v>0</v>
      </c>
      <c r="E30" s="282">
        <f t="shared" si="8"/>
        <v>0</v>
      </c>
      <c r="F30" s="282">
        <f t="shared" si="8"/>
        <v>0</v>
      </c>
      <c r="G30" s="282">
        <f t="shared" si="8"/>
        <v>0</v>
      </c>
      <c r="H30" s="282">
        <f t="shared" si="8"/>
        <v>0</v>
      </c>
      <c r="I30" s="282">
        <f t="shared" si="8"/>
        <v>0</v>
      </c>
      <c r="J30" s="282">
        <f t="shared" si="8"/>
        <v>0</v>
      </c>
      <c r="K30" s="282">
        <f t="shared" si="8"/>
        <v>1500</v>
      </c>
      <c r="L30" s="282">
        <f t="shared" si="8"/>
        <v>0</v>
      </c>
      <c r="M30" s="282">
        <f t="shared" si="8"/>
        <v>0</v>
      </c>
      <c r="N30" s="282">
        <f t="shared" si="8"/>
        <v>1500</v>
      </c>
    </row>
    <row r="31" spans="1:14" x14ac:dyDescent="0.25">
      <c r="A31" s="276" t="s">
        <v>29</v>
      </c>
      <c r="B31" s="277">
        <f t="shared" ref="B31:N31" si="9">B25+B30+0</f>
        <v>-1366.62</v>
      </c>
      <c r="C31" s="277">
        <f t="shared" si="9"/>
        <v>-2429.62</v>
      </c>
      <c r="D31" s="277">
        <f t="shared" si="9"/>
        <v>-1779.62</v>
      </c>
      <c r="E31" s="277">
        <f t="shared" si="9"/>
        <v>-1179.6199999999999</v>
      </c>
      <c r="F31" s="277">
        <f t="shared" si="9"/>
        <v>-1129.6199999999999</v>
      </c>
      <c r="G31" s="277">
        <f t="shared" si="9"/>
        <v>-1080.6199999999999</v>
      </c>
      <c r="H31" s="277">
        <f t="shared" si="9"/>
        <v>-2179.62</v>
      </c>
      <c r="I31" s="277">
        <f t="shared" si="9"/>
        <v>-1779.62</v>
      </c>
      <c r="J31" s="277">
        <f t="shared" si="9"/>
        <v>-1179.6199999999999</v>
      </c>
      <c r="K31" s="277">
        <f t="shared" si="9"/>
        <v>370.38000000000011</v>
      </c>
      <c r="L31" s="277">
        <f t="shared" si="9"/>
        <v>-1129.6199999999999</v>
      </c>
      <c r="M31" s="277">
        <f t="shared" si="9"/>
        <v>-66.62</v>
      </c>
      <c r="N31" s="277">
        <f t="shared" si="9"/>
        <v>-14930.439999999999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223D-F4ED-4C90-9B23-8DF814C13127}">
  <sheetPr codeName="Sheet13">
    <tabColor rgb="FFFFC000"/>
    <pageSetUpPr fitToPage="1"/>
  </sheetPr>
  <dimension ref="A1:N30"/>
  <sheetViews>
    <sheetView zoomScaleNormal="100" workbookViewId="0">
      <selection activeCell="L26" sqref="L26"/>
    </sheetView>
  </sheetViews>
  <sheetFormatPr defaultRowHeight="15.75" x14ac:dyDescent="0.25"/>
  <cols>
    <col min="1" max="1" width="46.125" bestFit="1" customWidth="1"/>
    <col min="2" max="3" width="7.375" bestFit="1" customWidth="1"/>
    <col min="4" max="4" width="6.75" bestFit="1" customWidth="1"/>
    <col min="5" max="5" width="7.375" bestFit="1" customWidth="1"/>
    <col min="6" max="6" width="6.875" bestFit="1" customWidth="1"/>
    <col min="7" max="8" width="7.375" bestFit="1" customWidth="1"/>
    <col min="9" max="9" width="6.75" bestFit="1" customWidth="1"/>
    <col min="10" max="10" width="7.375" bestFit="1" customWidth="1"/>
    <col min="11" max="11" width="6.5" bestFit="1" customWidth="1"/>
    <col min="12" max="13" width="6.875" bestFit="1" customWidth="1"/>
    <col min="14" max="14" width="8.1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2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345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336</v>
      </c>
      <c r="B11" s="230">
        <v>0</v>
      </c>
      <c r="C11" s="230">
        <v>0</v>
      </c>
      <c r="D11" s="230">
        <v>300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300</v>
      </c>
    </row>
    <row r="12" spans="1:14" x14ac:dyDescent="0.25">
      <c r="A12" s="229" t="s">
        <v>337</v>
      </c>
      <c r="B12" s="230">
        <v>0</v>
      </c>
      <c r="C12" s="230">
        <v>0</v>
      </c>
      <c r="D12" s="230">
        <v>95</v>
      </c>
      <c r="E12" s="230">
        <v>95</v>
      </c>
      <c r="F12" s="230">
        <v>95</v>
      </c>
      <c r="G12" s="230">
        <v>95</v>
      </c>
      <c r="H12" s="230">
        <v>95</v>
      </c>
      <c r="I12" s="230">
        <v>95</v>
      </c>
      <c r="J12" s="230">
        <v>95</v>
      </c>
      <c r="K12" s="230">
        <v>95</v>
      </c>
      <c r="L12" s="230">
        <v>0</v>
      </c>
      <c r="M12" s="230">
        <v>0</v>
      </c>
      <c r="N12" s="230">
        <f>SUM(B12:M12)</f>
        <v>760</v>
      </c>
    </row>
    <row r="13" spans="1:14" x14ac:dyDescent="0.25">
      <c r="A13" s="229" t="s">
        <v>25</v>
      </c>
      <c r="B13" s="230">
        <v>0</v>
      </c>
      <c r="C13" s="230">
        <v>0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f t="shared" ref="N13:N21" si="1">SUM(B13:M13)</f>
        <v>0</v>
      </c>
    </row>
    <row r="14" spans="1:14" x14ac:dyDescent="0.25">
      <c r="A14" s="229" t="s">
        <v>335</v>
      </c>
      <c r="B14" s="230">
        <v>237.5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f>SUM(B14:M14)</f>
        <v>237.5</v>
      </c>
    </row>
    <row r="15" spans="1:14" x14ac:dyDescent="0.25">
      <c r="A15" s="229" t="s">
        <v>318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 t="shared" si="1"/>
        <v>0</v>
      </c>
    </row>
    <row r="16" spans="1:14" x14ac:dyDescent="0.25">
      <c r="A16" s="229" t="s">
        <v>257</v>
      </c>
      <c r="B16" s="230">
        <v>19</v>
      </c>
      <c r="C16" s="230">
        <v>19</v>
      </c>
      <c r="D16" s="230">
        <v>19</v>
      </c>
      <c r="E16" s="230">
        <v>19</v>
      </c>
      <c r="F16" s="230">
        <v>19</v>
      </c>
      <c r="G16" s="230">
        <v>19</v>
      </c>
      <c r="H16" s="230">
        <v>19</v>
      </c>
      <c r="I16" s="230">
        <v>19</v>
      </c>
      <c r="J16" s="230">
        <v>19</v>
      </c>
      <c r="K16" s="230">
        <v>19</v>
      </c>
      <c r="L16" s="230">
        <v>19</v>
      </c>
      <c r="M16" s="230">
        <v>19</v>
      </c>
      <c r="N16" s="230">
        <f t="shared" si="1"/>
        <v>228</v>
      </c>
    </row>
    <row r="17" spans="1:14" x14ac:dyDescent="0.25">
      <c r="A17" s="229" t="s">
        <v>329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 t="shared" si="1"/>
        <v>0</v>
      </c>
    </row>
    <row r="18" spans="1:14" x14ac:dyDescent="0.25">
      <c r="A18" s="229" t="s">
        <v>260</v>
      </c>
      <c r="B18" s="230">
        <v>100</v>
      </c>
      <c r="C18" s="230">
        <v>0</v>
      </c>
      <c r="D18" s="230">
        <v>0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f t="shared" si="1"/>
        <v>100</v>
      </c>
    </row>
    <row r="19" spans="1:14" x14ac:dyDescent="0.25">
      <c r="A19" s="229" t="s">
        <v>342</v>
      </c>
      <c r="B19" s="230">
        <v>0</v>
      </c>
      <c r="C19" s="230">
        <v>0</v>
      </c>
      <c r="D19" s="230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f t="shared" si="1"/>
        <v>0</v>
      </c>
    </row>
    <row r="20" spans="1:14" x14ac:dyDescent="0.25">
      <c r="A20" s="229" t="s">
        <v>263</v>
      </c>
      <c r="B20" s="230">
        <v>13.75</v>
      </c>
      <c r="C20" s="230">
        <v>13.75</v>
      </c>
      <c r="D20" s="230">
        <v>13.75</v>
      </c>
      <c r="E20" s="230">
        <v>13.75</v>
      </c>
      <c r="F20" s="230">
        <v>13.75</v>
      </c>
      <c r="G20" s="230">
        <v>13.75</v>
      </c>
      <c r="H20" s="230">
        <v>13.75</v>
      </c>
      <c r="I20" s="230">
        <v>13.75</v>
      </c>
      <c r="J20" s="230">
        <v>13.75</v>
      </c>
      <c r="K20" s="230">
        <v>13.75</v>
      </c>
      <c r="L20" s="230">
        <v>13.75</v>
      </c>
      <c r="M20" s="230">
        <v>7</v>
      </c>
      <c r="N20" s="230">
        <f t="shared" si="1"/>
        <v>158.25</v>
      </c>
    </row>
    <row r="21" spans="1:14" x14ac:dyDescent="0.25">
      <c r="A21" s="229" t="s">
        <v>344</v>
      </c>
      <c r="B21" s="230">
        <v>0</v>
      </c>
      <c r="C21" s="230">
        <v>0</v>
      </c>
      <c r="D21" s="230">
        <v>85</v>
      </c>
      <c r="E21" s="230">
        <v>65</v>
      </c>
      <c r="F21" s="230">
        <v>85</v>
      </c>
      <c r="G21" s="230">
        <v>0</v>
      </c>
      <c r="H21" s="230">
        <v>0</v>
      </c>
      <c r="I21" s="230">
        <v>65</v>
      </c>
      <c r="J21" s="230">
        <v>85</v>
      </c>
      <c r="K21" s="230">
        <v>85</v>
      </c>
      <c r="L21" s="230">
        <v>0</v>
      </c>
      <c r="M21" s="230">
        <v>0</v>
      </c>
      <c r="N21" s="230">
        <f t="shared" si="1"/>
        <v>470</v>
      </c>
    </row>
    <row r="22" spans="1:14" x14ac:dyDescent="0.25">
      <c r="A22" s="281" t="s">
        <v>190</v>
      </c>
      <c r="B22" s="282">
        <f t="shared" ref="B22:M22" si="2">SUM(B12:B21)</f>
        <v>370.25</v>
      </c>
      <c r="C22" s="282">
        <f t="shared" si="2"/>
        <v>32.75</v>
      </c>
      <c r="D22" s="282">
        <f t="shared" si="2"/>
        <v>212.75</v>
      </c>
      <c r="E22" s="282">
        <f t="shared" si="2"/>
        <v>192.75</v>
      </c>
      <c r="F22" s="282">
        <f t="shared" si="2"/>
        <v>212.75</v>
      </c>
      <c r="G22" s="282">
        <f t="shared" si="2"/>
        <v>127.75</v>
      </c>
      <c r="H22" s="282">
        <f t="shared" si="2"/>
        <v>127.75</v>
      </c>
      <c r="I22" s="282">
        <f t="shared" si="2"/>
        <v>192.75</v>
      </c>
      <c r="J22" s="282">
        <f t="shared" si="2"/>
        <v>212.75</v>
      </c>
      <c r="K22" s="282">
        <f t="shared" si="2"/>
        <v>212.75</v>
      </c>
      <c r="L22" s="282">
        <f t="shared" si="2"/>
        <v>32.75</v>
      </c>
      <c r="M22" s="282">
        <f t="shared" si="2"/>
        <v>26</v>
      </c>
      <c r="N22" s="282">
        <f>SUM(N11:N21)</f>
        <v>2253.75</v>
      </c>
    </row>
    <row r="23" spans="1:14" x14ac:dyDescent="0.25">
      <c r="A23" s="283" t="s">
        <v>191</v>
      </c>
      <c r="B23" s="282">
        <f t="shared" ref="B23:N23" si="3">SUM(B22)</f>
        <v>370.25</v>
      </c>
      <c r="C23" s="282">
        <f t="shared" si="3"/>
        <v>32.75</v>
      </c>
      <c r="D23" s="282">
        <f t="shared" si="3"/>
        <v>212.75</v>
      </c>
      <c r="E23" s="282">
        <f t="shared" si="3"/>
        <v>192.75</v>
      </c>
      <c r="F23" s="282">
        <f t="shared" si="3"/>
        <v>212.75</v>
      </c>
      <c r="G23" s="282">
        <f t="shared" si="3"/>
        <v>127.75</v>
      </c>
      <c r="H23" s="282">
        <f t="shared" si="3"/>
        <v>127.75</v>
      </c>
      <c r="I23" s="282">
        <f t="shared" si="3"/>
        <v>192.75</v>
      </c>
      <c r="J23" s="282">
        <f t="shared" si="3"/>
        <v>212.75</v>
      </c>
      <c r="K23" s="282">
        <f t="shared" si="3"/>
        <v>212.75</v>
      </c>
      <c r="L23" s="282">
        <f t="shared" si="3"/>
        <v>32.75</v>
      </c>
      <c r="M23" s="282">
        <f t="shared" si="3"/>
        <v>26</v>
      </c>
      <c r="N23" s="282">
        <f t="shared" si="3"/>
        <v>2253.75</v>
      </c>
    </row>
    <row r="24" spans="1:14" x14ac:dyDescent="0.25">
      <c r="A24" s="276" t="s">
        <v>192</v>
      </c>
      <c r="B24" s="277">
        <f t="shared" ref="B24:N24" si="4">B8-B23</f>
        <v>-370.25</v>
      </c>
      <c r="C24" s="277">
        <f t="shared" si="4"/>
        <v>-32.75</v>
      </c>
      <c r="D24" s="277">
        <f t="shared" si="4"/>
        <v>-212.75</v>
      </c>
      <c r="E24" s="277">
        <f t="shared" si="4"/>
        <v>-192.75</v>
      </c>
      <c r="F24" s="277">
        <f t="shared" si="4"/>
        <v>-212.75</v>
      </c>
      <c r="G24" s="277">
        <f t="shared" si="4"/>
        <v>-127.75</v>
      </c>
      <c r="H24" s="277">
        <f t="shared" si="4"/>
        <v>-127.75</v>
      </c>
      <c r="I24" s="277">
        <f t="shared" si="4"/>
        <v>-192.75</v>
      </c>
      <c r="J24" s="277">
        <f t="shared" si="4"/>
        <v>-212.75</v>
      </c>
      <c r="K24" s="277">
        <f t="shared" si="4"/>
        <v>-212.75</v>
      </c>
      <c r="L24" s="277">
        <f t="shared" si="4"/>
        <v>-32.75</v>
      </c>
      <c r="M24" s="277">
        <f t="shared" si="4"/>
        <v>-26</v>
      </c>
      <c r="N24" s="277">
        <f t="shared" si="4"/>
        <v>-2253.75</v>
      </c>
    </row>
    <row r="25" spans="1:14" x14ac:dyDescent="0.25">
      <c r="A25" s="278" t="s">
        <v>193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</row>
    <row r="26" spans="1:14" x14ac:dyDescent="0.25">
      <c r="A26" s="280" t="s">
        <v>196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</row>
    <row r="27" spans="1:14" x14ac:dyDescent="0.25">
      <c r="A27" s="229" t="s">
        <v>224</v>
      </c>
      <c r="B27" s="230">
        <v>0</v>
      </c>
      <c r="C27" s="230">
        <v>0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f t="shared" ref="N27" si="5">SUM(B27:M27)</f>
        <v>0</v>
      </c>
    </row>
    <row r="28" spans="1:14" x14ac:dyDescent="0.25">
      <c r="A28" s="281" t="s">
        <v>197</v>
      </c>
      <c r="B28" s="282">
        <f t="shared" ref="B28:N29" si="6">SUM(B27)</f>
        <v>0</v>
      </c>
      <c r="C28" s="282">
        <f t="shared" si="6"/>
        <v>0</v>
      </c>
      <c r="D28" s="282">
        <f t="shared" si="6"/>
        <v>0</v>
      </c>
      <c r="E28" s="282">
        <f t="shared" si="6"/>
        <v>0</v>
      </c>
      <c r="F28" s="282">
        <f t="shared" si="6"/>
        <v>0</v>
      </c>
      <c r="G28" s="282">
        <f t="shared" si="6"/>
        <v>0</v>
      </c>
      <c r="H28" s="282">
        <f t="shared" si="6"/>
        <v>0</v>
      </c>
      <c r="I28" s="282">
        <f t="shared" si="6"/>
        <v>0</v>
      </c>
      <c r="J28" s="282">
        <f t="shared" si="6"/>
        <v>0</v>
      </c>
      <c r="K28" s="282">
        <f t="shared" si="6"/>
        <v>0</v>
      </c>
      <c r="L28" s="282">
        <f t="shared" si="6"/>
        <v>0</v>
      </c>
      <c r="M28" s="282">
        <f t="shared" si="6"/>
        <v>0</v>
      </c>
      <c r="N28" s="282">
        <f t="shared" si="6"/>
        <v>0</v>
      </c>
    </row>
    <row r="29" spans="1:14" x14ac:dyDescent="0.25">
      <c r="A29" s="283" t="s">
        <v>200</v>
      </c>
      <c r="B29" s="282">
        <f t="shared" si="6"/>
        <v>0</v>
      </c>
      <c r="C29" s="282">
        <f t="shared" si="6"/>
        <v>0</v>
      </c>
      <c r="D29" s="282">
        <f t="shared" si="6"/>
        <v>0</v>
      </c>
      <c r="E29" s="282">
        <f t="shared" si="6"/>
        <v>0</v>
      </c>
      <c r="F29" s="282">
        <f t="shared" si="6"/>
        <v>0</v>
      </c>
      <c r="G29" s="282">
        <f t="shared" si="6"/>
        <v>0</v>
      </c>
      <c r="H29" s="282">
        <f t="shared" si="6"/>
        <v>0</v>
      </c>
      <c r="I29" s="282">
        <f t="shared" si="6"/>
        <v>0</v>
      </c>
      <c r="J29" s="282">
        <f t="shared" si="6"/>
        <v>0</v>
      </c>
      <c r="K29" s="282">
        <f t="shared" si="6"/>
        <v>0</v>
      </c>
      <c r="L29" s="282">
        <f t="shared" si="6"/>
        <v>0</v>
      </c>
      <c r="M29" s="282">
        <f t="shared" si="6"/>
        <v>0</v>
      </c>
      <c r="N29" s="282">
        <f t="shared" si="6"/>
        <v>0</v>
      </c>
    </row>
    <row r="30" spans="1:14" x14ac:dyDescent="0.25">
      <c r="A30" s="276" t="s">
        <v>29</v>
      </c>
      <c r="B30" s="277">
        <f t="shared" ref="B30:N30" si="7">B24+B29+0</f>
        <v>-370.25</v>
      </c>
      <c r="C30" s="277">
        <f t="shared" si="7"/>
        <v>-32.75</v>
      </c>
      <c r="D30" s="277">
        <f t="shared" si="7"/>
        <v>-212.75</v>
      </c>
      <c r="E30" s="277">
        <f t="shared" si="7"/>
        <v>-192.75</v>
      </c>
      <c r="F30" s="277">
        <f t="shared" si="7"/>
        <v>-212.75</v>
      </c>
      <c r="G30" s="277">
        <f t="shared" si="7"/>
        <v>-127.75</v>
      </c>
      <c r="H30" s="277">
        <f t="shared" si="7"/>
        <v>-127.75</v>
      </c>
      <c r="I30" s="277">
        <f t="shared" si="7"/>
        <v>-192.75</v>
      </c>
      <c r="J30" s="277">
        <f t="shared" si="7"/>
        <v>-212.75</v>
      </c>
      <c r="K30" s="277">
        <f t="shared" si="7"/>
        <v>-212.75</v>
      </c>
      <c r="L30" s="277">
        <f t="shared" si="7"/>
        <v>-32.75</v>
      </c>
      <c r="M30" s="277">
        <f t="shared" si="7"/>
        <v>-26</v>
      </c>
      <c r="N30" s="277">
        <f t="shared" si="7"/>
        <v>-2253.75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11B6-2052-7E4B-9A6F-26950B942926}">
  <sheetPr codeName="Sheet15">
    <tabColor rgb="FFFFC000"/>
    <pageSetUpPr fitToPage="1"/>
  </sheetPr>
  <dimension ref="A1:N28"/>
  <sheetViews>
    <sheetView zoomScale="110" zoomScaleNormal="110" workbookViewId="0">
      <selection activeCell="P10" sqref="P10"/>
    </sheetView>
  </sheetViews>
  <sheetFormatPr defaultRowHeight="15.75" x14ac:dyDescent="0.25"/>
  <cols>
    <col min="1" max="1" width="46.125" bestFit="1" customWidth="1"/>
    <col min="2" max="2" width="7.375" bestFit="1" customWidth="1"/>
    <col min="3" max="3" width="7.375" customWidth="1"/>
    <col min="4" max="4" width="6.75" bestFit="1" customWidth="1"/>
    <col min="5" max="5" width="6.5" bestFit="1" customWidth="1"/>
    <col min="6" max="6" width="6.875" bestFit="1" customWidth="1"/>
    <col min="7" max="7" width="6.5" bestFit="1" customWidth="1"/>
    <col min="8" max="8" width="6.25" bestFit="1" customWidth="1"/>
    <col min="9" max="9" width="6.75" bestFit="1" customWidth="1"/>
    <col min="10" max="10" width="7.375" bestFit="1" customWidth="1"/>
    <col min="11" max="11" width="6.5" bestFit="1" customWidth="1"/>
    <col min="12" max="12" width="6.875" bestFit="1" customWidth="1"/>
    <col min="13" max="13" width="6.875" customWidth="1"/>
    <col min="14" max="14" width="7.37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346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326</v>
      </c>
      <c r="B11" s="230">
        <v>0</v>
      </c>
      <c r="C11" s="230">
        <v>340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340</v>
      </c>
    </row>
    <row r="12" spans="1:14" x14ac:dyDescent="0.25">
      <c r="A12" s="229" t="s">
        <v>335</v>
      </c>
      <c r="B12" s="230">
        <v>230</v>
      </c>
      <c r="C12" s="230">
        <v>230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ref="N12:N19" si="1">SUM(B12:M12)</f>
        <v>460</v>
      </c>
    </row>
    <row r="13" spans="1:14" x14ac:dyDescent="0.25">
      <c r="A13" s="229" t="s">
        <v>336</v>
      </c>
      <c r="B13" s="230">
        <v>0</v>
      </c>
      <c r="C13" s="230">
        <v>0</v>
      </c>
      <c r="D13" s="230">
        <v>0</v>
      </c>
      <c r="E13" s="230">
        <v>300</v>
      </c>
      <c r="F13" s="230">
        <v>300</v>
      </c>
      <c r="G13" s="230">
        <v>300</v>
      </c>
      <c r="H13" s="230">
        <v>0</v>
      </c>
      <c r="I13" s="230">
        <v>300</v>
      </c>
      <c r="J13" s="230">
        <v>300</v>
      </c>
      <c r="K13" s="230">
        <v>300</v>
      </c>
      <c r="L13" s="230">
        <v>300</v>
      </c>
      <c r="M13" s="230">
        <v>0</v>
      </c>
      <c r="N13" s="230">
        <f t="shared" si="1"/>
        <v>2100</v>
      </c>
    </row>
    <row r="14" spans="1:14" x14ac:dyDescent="0.25">
      <c r="A14" s="229" t="s">
        <v>337</v>
      </c>
      <c r="B14" s="230">
        <v>0</v>
      </c>
      <c r="C14" s="230">
        <v>200</v>
      </c>
      <c r="D14" s="230">
        <v>200</v>
      </c>
      <c r="E14" s="230">
        <v>200</v>
      </c>
      <c r="F14" s="230">
        <v>200</v>
      </c>
      <c r="G14" s="230">
        <v>200</v>
      </c>
      <c r="H14" s="230">
        <v>200</v>
      </c>
      <c r="I14" s="230">
        <v>200</v>
      </c>
      <c r="J14" s="230">
        <v>200</v>
      </c>
      <c r="K14" s="230">
        <v>200</v>
      </c>
      <c r="L14" s="230">
        <v>200</v>
      </c>
      <c r="M14" s="230">
        <v>0</v>
      </c>
      <c r="N14" s="230">
        <f t="shared" si="1"/>
        <v>2000</v>
      </c>
    </row>
    <row r="15" spans="1:14" x14ac:dyDescent="0.25">
      <c r="A15" s="229" t="s">
        <v>257</v>
      </c>
      <c r="B15" s="230">
        <v>0</v>
      </c>
      <c r="C15" s="230">
        <v>35</v>
      </c>
      <c r="D15" s="230">
        <v>35</v>
      </c>
      <c r="E15" s="230">
        <v>35</v>
      </c>
      <c r="F15" s="230">
        <v>35</v>
      </c>
      <c r="G15" s="230">
        <v>35</v>
      </c>
      <c r="H15" s="230">
        <v>35</v>
      </c>
      <c r="I15" s="230">
        <v>35</v>
      </c>
      <c r="J15" s="230">
        <v>35</v>
      </c>
      <c r="K15" s="230">
        <v>35</v>
      </c>
      <c r="L15" s="230">
        <v>35</v>
      </c>
      <c r="M15" s="230">
        <v>0</v>
      </c>
      <c r="N15" s="230">
        <f t="shared" si="1"/>
        <v>350</v>
      </c>
    </row>
    <row r="16" spans="1:14" x14ac:dyDescent="0.25">
      <c r="A16" s="229" t="s">
        <v>260</v>
      </c>
      <c r="B16" s="230">
        <v>0</v>
      </c>
      <c r="C16" s="230">
        <v>0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f t="shared" si="1"/>
        <v>0</v>
      </c>
    </row>
    <row r="17" spans="1:14" x14ac:dyDescent="0.25">
      <c r="A17" s="229" t="s">
        <v>342</v>
      </c>
      <c r="B17" s="230">
        <v>0</v>
      </c>
      <c r="C17" s="230">
        <v>900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>SUM(B17:M17)</f>
        <v>900</v>
      </c>
    </row>
    <row r="18" spans="1:14" x14ac:dyDescent="0.25">
      <c r="A18" s="229" t="s">
        <v>347</v>
      </c>
      <c r="B18" s="230">
        <v>0</v>
      </c>
      <c r="C18" s="230">
        <v>20</v>
      </c>
      <c r="D18" s="230">
        <v>0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f t="shared" ref="N18" si="2">SUM(B18:M18)</f>
        <v>20</v>
      </c>
    </row>
    <row r="19" spans="1:14" x14ac:dyDescent="0.25">
      <c r="A19" s="229" t="s">
        <v>263</v>
      </c>
      <c r="B19" s="230">
        <v>8</v>
      </c>
      <c r="C19" s="230">
        <v>8</v>
      </c>
      <c r="D19" s="230">
        <v>8</v>
      </c>
      <c r="E19" s="230">
        <v>8</v>
      </c>
      <c r="F19" s="230">
        <v>8</v>
      </c>
      <c r="G19" s="230">
        <v>8</v>
      </c>
      <c r="H19" s="230">
        <v>8</v>
      </c>
      <c r="I19" s="230">
        <v>8</v>
      </c>
      <c r="J19" s="230">
        <v>8</v>
      </c>
      <c r="K19" s="230">
        <v>8</v>
      </c>
      <c r="L19" s="230">
        <v>8</v>
      </c>
      <c r="M19" s="230">
        <v>8</v>
      </c>
      <c r="N19" s="230">
        <f t="shared" si="1"/>
        <v>96</v>
      </c>
    </row>
    <row r="20" spans="1:14" x14ac:dyDescent="0.25">
      <c r="A20" s="281" t="s">
        <v>190</v>
      </c>
      <c r="B20" s="282">
        <f>SUM(B11:B19)</f>
        <v>238</v>
      </c>
      <c r="C20" s="282">
        <f t="shared" ref="C20:N20" si="3">SUM(C11:C19)</f>
        <v>1733</v>
      </c>
      <c r="D20" s="282">
        <f t="shared" si="3"/>
        <v>243</v>
      </c>
      <c r="E20" s="282">
        <f t="shared" si="3"/>
        <v>543</v>
      </c>
      <c r="F20" s="282">
        <f t="shared" si="3"/>
        <v>543</v>
      </c>
      <c r="G20" s="282">
        <f t="shared" si="3"/>
        <v>543</v>
      </c>
      <c r="H20" s="282">
        <f t="shared" si="3"/>
        <v>243</v>
      </c>
      <c r="I20" s="282">
        <f t="shared" si="3"/>
        <v>543</v>
      </c>
      <c r="J20" s="282">
        <f t="shared" si="3"/>
        <v>543</v>
      </c>
      <c r="K20" s="282">
        <f t="shared" si="3"/>
        <v>543</v>
      </c>
      <c r="L20" s="282">
        <f t="shared" si="3"/>
        <v>543</v>
      </c>
      <c r="M20" s="282">
        <f t="shared" si="3"/>
        <v>8</v>
      </c>
      <c r="N20" s="282">
        <f t="shared" si="3"/>
        <v>6266</v>
      </c>
    </row>
    <row r="21" spans="1:14" x14ac:dyDescent="0.25">
      <c r="A21" s="283" t="s">
        <v>191</v>
      </c>
      <c r="B21" s="282">
        <f t="shared" ref="B21:N21" si="4">SUM(B20)</f>
        <v>238</v>
      </c>
      <c r="C21" s="282">
        <f t="shared" ref="C21:M21" si="5">SUM(C20)</f>
        <v>1733</v>
      </c>
      <c r="D21" s="282">
        <f t="shared" si="5"/>
        <v>243</v>
      </c>
      <c r="E21" s="282">
        <f t="shared" si="5"/>
        <v>543</v>
      </c>
      <c r="F21" s="282">
        <f t="shared" si="5"/>
        <v>543</v>
      </c>
      <c r="G21" s="282">
        <f t="shared" si="5"/>
        <v>543</v>
      </c>
      <c r="H21" s="282">
        <f t="shared" si="5"/>
        <v>243</v>
      </c>
      <c r="I21" s="282">
        <f t="shared" si="5"/>
        <v>543</v>
      </c>
      <c r="J21" s="282">
        <f t="shared" si="5"/>
        <v>543</v>
      </c>
      <c r="K21" s="282">
        <f t="shared" si="5"/>
        <v>543</v>
      </c>
      <c r="L21" s="282">
        <f t="shared" si="5"/>
        <v>543</v>
      </c>
      <c r="M21" s="282">
        <f t="shared" si="5"/>
        <v>8</v>
      </c>
      <c r="N21" s="282">
        <f t="shared" si="4"/>
        <v>6266</v>
      </c>
    </row>
    <row r="22" spans="1:14" x14ac:dyDescent="0.25">
      <c r="A22" s="276" t="s">
        <v>192</v>
      </c>
      <c r="B22" s="277">
        <f t="shared" ref="B22:N22" si="6">B8-B21</f>
        <v>-238</v>
      </c>
      <c r="C22" s="277">
        <f t="shared" si="6"/>
        <v>-1733</v>
      </c>
      <c r="D22" s="277">
        <f t="shared" si="6"/>
        <v>-243</v>
      </c>
      <c r="E22" s="277">
        <f t="shared" si="6"/>
        <v>-543</v>
      </c>
      <c r="F22" s="277">
        <f t="shared" si="6"/>
        <v>-543</v>
      </c>
      <c r="G22" s="277">
        <f t="shared" si="6"/>
        <v>-543</v>
      </c>
      <c r="H22" s="277">
        <f t="shared" si="6"/>
        <v>-243</v>
      </c>
      <c r="I22" s="277">
        <f t="shared" si="6"/>
        <v>-543</v>
      </c>
      <c r="J22" s="277">
        <f t="shared" si="6"/>
        <v>-543</v>
      </c>
      <c r="K22" s="277">
        <f t="shared" si="6"/>
        <v>-543</v>
      </c>
      <c r="L22" s="277">
        <f t="shared" si="6"/>
        <v>-543</v>
      </c>
      <c r="M22" s="277">
        <f t="shared" si="6"/>
        <v>-8</v>
      </c>
      <c r="N22" s="277">
        <f t="shared" si="6"/>
        <v>-6266</v>
      </c>
    </row>
    <row r="23" spans="1:14" x14ac:dyDescent="0.25">
      <c r="A23" s="278" t="s">
        <v>193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</row>
    <row r="24" spans="1:14" x14ac:dyDescent="0.25">
      <c r="A24" s="280" t="s">
        <v>196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</row>
    <row r="25" spans="1:14" x14ac:dyDescent="0.25">
      <c r="A25" s="229" t="s">
        <v>224</v>
      </c>
      <c r="B25" s="230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880</v>
      </c>
      <c r="H25" s="230">
        <v>0</v>
      </c>
      <c r="I25" s="230">
        <v>860</v>
      </c>
      <c r="J25" s="230">
        <v>120</v>
      </c>
      <c r="K25" s="230">
        <v>0</v>
      </c>
      <c r="L25" s="230">
        <v>0</v>
      </c>
      <c r="M25" s="230">
        <v>0</v>
      </c>
      <c r="N25" s="230">
        <f>SUM(E25:M25)</f>
        <v>1860</v>
      </c>
    </row>
    <row r="26" spans="1:14" x14ac:dyDescent="0.25">
      <c r="A26" s="281" t="s">
        <v>197</v>
      </c>
      <c r="B26" s="282">
        <f t="shared" ref="B26:J27" si="7">SUM(B25)</f>
        <v>0</v>
      </c>
      <c r="C26" s="282">
        <f t="shared" si="7"/>
        <v>0</v>
      </c>
      <c r="D26" s="282">
        <f t="shared" si="7"/>
        <v>0</v>
      </c>
      <c r="E26" s="282">
        <f t="shared" si="7"/>
        <v>0</v>
      </c>
      <c r="F26" s="282">
        <f t="shared" si="7"/>
        <v>0</v>
      </c>
      <c r="G26" s="282">
        <f t="shared" si="7"/>
        <v>880</v>
      </c>
      <c r="H26" s="282">
        <f t="shared" si="7"/>
        <v>0</v>
      </c>
      <c r="I26" s="282">
        <f t="shared" si="7"/>
        <v>860</v>
      </c>
      <c r="J26" s="282">
        <f t="shared" si="7"/>
        <v>120</v>
      </c>
      <c r="K26" s="282">
        <f t="shared" ref="K26:N27" si="8">SUM(K25)</f>
        <v>0</v>
      </c>
      <c r="L26" s="282">
        <f t="shared" si="8"/>
        <v>0</v>
      </c>
      <c r="M26" s="282">
        <f t="shared" si="8"/>
        <v>0</v>
      </c>
      <c r="N26" s="282">
        <f t="shared" si="8"/>
        <v>1860</v>
      </c>
    </row>
    <row r="27" spans="1:14" x14ac:dyDescent="0.25">
      <c r="A27" s="283" t="s">
        <v>200</v>
      </c>
      <c r="B27" s="282">
        <f t="shared" si="7"/>
        <v>0</v>
      </c>
      <c r="C27" s="282">
        <f t="shared" si="7"/>
        <v>0</v>
      </c>
      <c r="D27" s="282">
        <f t="shared" si="7"/>
        <v>0</v>
      </c>
      <c r="E27" s="282">
        <f t="shared" si="7"/>
        <v>0</v>
      </c>
      <c r="F27" s="282">
        <f t="shared" si="7"/>
        <v>0</v>
      </c>
      <c r="G27" s="282">
        <f t="shared" si="7"/>
        <v>880</v>
      </c>
      <c r="H27" s="282">
        <f t="shared" si="7"/>
        <v>0</v>
      </c>
      <c r="I27" s="282">
        <f t="shared" si="7"/>
        <v>860</v>
      </c>
      <c r="J27" s="282">
        <f t="shared" si="7"/>
        <v>120</v>
      </c>
      <c r="K27" s="282">
        <f t="shared" si="8"/>
        <v>0</v>
      </c>
      <c r="L27" s="282">
        <f t="shared" si="8"/>
        <v>0</v>
      </c>
      <c r="M27" s="282">
        <f>SUM(M26)</f>
        <v>0</v>
      </c>
      <c r="N27" s="282">
        <f t="shared" si="8"/>
        <v>1860</v>
      </c>
    </row>
    <row r="28" spans="1:14" x14ac:dyDescent="0.25">
      <c r="A28" s="276" t="s">
        <v>29</v>
      </c>
      <c r="B28" s="277">
        <f t="shared" ref="B28:N28" si="9">B22+B27+0</f>
        <v>-238</v>
      </c>
      <c r="C28" s="277">
        <f t="shared" si="9"/>
        <v>-1733</v>
      </c>
      <c r="D28" s="277">
        <f t="shared" si="9"/>
        <v>-243</v>
      </c>
      <c r="E28" s="277">
        <f t="shared" si="9"/>
        <v>-543</v>
      </c>
      <c r="F28" s="277">
        <f t="shared" si="9"/>
        <v>-543</v>
      </c>
      <c r="G28" s="277">
        <f t="shared" si="9"/>
        <v>337</v>
      </c>
      <c r="H28" s="277">
        <f t="shared" si="9"/>
        <v>-243</v>
      </c>
      <c r="I28" s="277">
        <f t="shared" si="9"/>
        <v>317</v>
      </c>
      <c r="J28" s="277">
        <f t="shared" si="9"/>
        <v>-423</v>
      </c>
      <c r="K28" s="277">
        <f t="shared" si="9"/>
        <v>-543</v>
      </c>
      <c r="L28" s="277">
        <f t="shared" si="9"/>
        <v>-543</v>
      </c>
      <c r="M28" s="277">
        <f t="shared" si="9"/>
        <v>-8</v>
      </c>
      <c r="N28" s="277">
        <f t="shared" si="9"/>
        <v>-4406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07EE-29B2-1C47-90A8-544E08E01201}">
  <sheetPr codeName="Sheet16">
    <tabColor rgb="FFFFC000"/>
    <pageSetUpPr fitToPage="1"/>
  </sheetPr>
  <dimension ref="A1:N28"/>
  <sheetViews>
    <sheetView topLeftCell="A7" zoomScale="106" zoomScaleNormal="106" workbookViewId="0">
      <selection activeCell="A23" sqref="A23"/>
    </sheetView>
  </sheetViews>
  <sheetFormatPr defaultRowHeight="15.75" x14ac:dyDescent="0.25"/>
  <cols>
    <col min="1" max="1" width="46.125" bestFit="1" customWidth="1"/>
    <col min="2" max="2" width="7.375" bestFit="1" customWidth="1"/>
    <col min="3" max="3" width="7.375" customWidth="1"/>
    <col min="4" max="5" width="7.375" bestFit="1" customWidth="1"/>
    <col min="6" max="6" width="6.875" bestFit="1" customWidth="1"/>
    <col min="7" max="9" width="7.375" bestFit="1" customWidth="1"/>
    <col min="10" max="10" width="6.625" bestFit="1" customWidth="1"/>
    <col min="11" max="11" width="7.375" bestFit="1" customWidth="1"/>
    <col min="12" max="12" width="7.375" customWidth="1"/>
    <col min="13" max="13" width="6.875" bestFit="1" customWidth="1"/>
    <col min="14" max="14" width="8.1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348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349</v>
      </c>
      <c r="B11" s="230">
        <v>500</v>
      </c>
      <c r="C11" s="230">
        <v>0</v>
      </c>
      <c r="D11" s="230">
        <v>48</v>
      </c>
      <c r="E11" s="230">
        <v>0</v>
      </c>
      <c r="F11" s="230">
        <v>0</v>
      </c>
      <c r="G11" s="230">
        <v>0</v>
      </c>
      <c r="H11" s="230">
        <v>48</v>
      </c>
      <c r="I11" s="230">
        <v>48</v>
      </c>
      <c r="J11" s="230">
        <v>0</v>
      </c>
      <c r="K11" s="230">
        <v>0</v>
      </c>
      <c r="L11" s="230">
        <v>0</v>
      </c>
      <c r="M11" s="230">
        <v>0</v>
      </c>
      <c r="N11" s="230">
        <f t="shared" ref="N11:N24" si="1">SUM(B11:M11)</f>
        <v>644</v>
      </c>
    </row>
    <row r="12" spans="1:14" x14ac:dyDescent="0.25">
      <c r="A12" s="229" t="s">
        <v>335</v>
      </c>
      <c r="B12" s="230">
        <v>235</v>
      </c>
      <c r="C12" s="230">
        <v>235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si="1"/>
        <v>470</v>
      </c>
    </row>
    <row r="13" spans="1:14" x14ac:dyDescent="0.25">
      <c r="A13" s="229" t="s">
        <v>341</v>
      </c>
      <c r="B13" s="230">
        <v>0</v>
      </c>
      <c r="C13" s="230">
        <v>38</v>
      </c>
      <c r="D13" s="230">
        <v>38</v>
      </c>
      <c r="E13" s="230">
        <v>38</v>
      </c>
      <c r="F13" s="230">
        <v>38</v>
      </c>
      <c r="G13" s="230">
        <v>38</v>
      </c>
      <c r="H13" s="230">
        <v>38</v>
      </c>
      <c r="I13" s="230">
        <v>38</v>
      </c>
      <c r="J13" s="230">
        <v>38</v>
      </c>
      <c r="K13" s="230">
        <v>38</v>
      </c>
      <c r="L13" s="230">
        <v>38</v>
      </c>
      <c r="M13" s="230">
        <v>0</v>
      </c>
      <c r="N13" s="230">
        <f t="shared" si="1"/>
        <v>380</v>
      </c>
    </row>
    <row r="14" spans="1:14" x14ac:dyDescent="0.25">
      <c r="A14" s="229" t="s">
        <v>336</v>
      </c>
      <c r="B14" s="230">
        <v>500</v>
      </c>
      <c r="C14" s="230">
        <v>0</v>
      </c>
      <c r="D14" s="230">
        <v>250</v>
      </c>
      <c r="E14" s="230">
        <v>500</v>
      </c>
      <c r="F14" s="230">
        <v>250</v>
      </c>
      <c r="G14" s="230">
        <v>0</v>
      </c>
      <c r="H14" s="230">
        <v>250</v>
      </c>
      <c r="I14" s="230">
        <v>500</v>
      </c>
      <c r="J14" s="230">
        <v>250</v>
      </c>
      <c r="K14" s="230">
        <v>0</v>
      </c>
      <c r="L14" s="230">
        <v>0</v>
      </c>
      <c r="M14" s="230">
        <v>0</v>
      </c>
      <c r="N14" s="230">
        <f t="shared" si="1"/>
        <v>2500</v>
      </c>
    </row>
    <row r="15" spans="1:14" x14ac:dyDescent="0.25">
      <c r="A15" s="229" t="s">
        <v>337</v>
      </c>
      <c r="B15" s="230">
        <v>500</v>
      </c>
      <c r="C15" s="230">
        <v>295</v>
      </c>
      <c r="D15" s="230">
        <v>295</v>
      </c>
      <c r="E15" s="230">
        <v>295</v>
      </c>
      <c r="F15" s="230">
        <v>295</v>
      </c>
      <c r="G15" s="230">
        <v>295</v>
      </c>
      <c r="H15" s="230">
        <v>295</v>
      </c>
      <c r="I15" s="230">
        <v>295</v>
      </c>
      <c r="J15" s="230">
        <v>295</v>
      </c>
      <c r="K15" s="230">
        <v>295</v>
      </c>
      <c r="L15" s="230">
        <v>295</v>
      </c>
      <c r="M15" s="230">
        <v>0</v>
      </c>
      <c r="N15" s="230">
        <f t="shared" si="1"/>
        <v>3450</v>
      </c>
    </row>
    <row r="16" spans="1:14" x14ac:dyDescent="0.25">
      <c r="A16" s="229" t="s">
        <v>229</v>
      </c>
      <c r="B16" s="230">
        <v>0</v>
      </c>
      <c r="C16" s="230">
        <v>14</v>
      </c>
      <c r="D16" s="230">
        <v>14</v>
      </c>
      <c r="E16" s="230">
        <v>14</v>
      </c>
      <c r="F16" s="230">
        <v>14</v>
      </c>
      <c r="G16" s="230">
        <v>14</v>
      </c>
      <c r="H16" s="230">
        <v>14</v>
      </c>
      <c r="I16" s="230">
        <v>14</v>
      </c>
      <c r="J16" s="230">
        <v>14</v>
      </c>
      <c r="K16" s="230">
        <v>14</v>
      </c>
      <c r="L16" s="230">
        <v>14</v>
      </c>
      <c r="M16" s="230">
        <v>0</v>
      </c>
      <c r="N16" s="230">
        <f t="shared" si="1"/>
        <v>140</v>
      </c>
    </row>
    <row r="17" spans="1:14" x14ac:dyDescent="0.25">
      <c r="A17" s="229" t="s">
        <v>318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 t="shared" si="1"/>
        <v>0</v>
      </c>
    </row>
    <row r="18" spans="1:14" x14ac:dyDescent="0.25">
      <c r="A18" s="229" t="s">
        <v>208</v>
      </c>
      <c r="B18" s="230">
        <v>10</v>
      </c>
      <c r="C18" s="230">
        <v>10</v>
      </c>
      <c r="D18" s="230">
        <v>10</v>
      </c>
      <c r="E18" s="230">
        <v>10</v>
      </c>
      <c r="F18" s="230">
        <v>10</v>
      </c>
      <c r="G18" s="230">
        <v>10</v>
      </c>
      <c r="H18" s="230">
        <v>10</v>
      </c>
      <c r="I18" s="230">
        <v>10</v>
      </c>
      <c r="J18" s="230">
        <v>10</v>
      </c>
      <c r="K18" s="230">
        <v>10</v>
      </c>
      <c r="L18" s="230">
        <v>10</v>
      </c>
      <c r="M18" s="230">
        <v>10</v>
      </c>
      <c r="N18" s="230">
        <f t="shared" si="1"/>
        <v>120</v>
      </c>
    </row>
    <row r="19" spans="1:14" x14ac:dyDescent="0.25">
      <c r="A19" s="229" t="s">
        <v>257</v>
      </c>
      <c r="B19" s="230">
        <v>0</v>
      </c>
      <c r="C19" s="230">
        <v>23</v>
      </c>
      <c r="D19" s="230">
        <v>23</v>
      </c>
      <c r="E19" s="230">
        <v>23</v>
      </c>
      <c r="F19" s="230">
        <v>23</v>
      </c>
      <c r="G19" s="230">
        <v>23</v>
      </c>
      <c r="H19" s="230">
        <v>23</v>
      </c>
      <c r="I19" s="230">
        <v>23</v>
      </c>
      <c r="J19" s="230">
        <v>23</v>
      </c>
      <c r="K19" s="230">
        <v>23</v>
      </c>
      <c r="L19" s="230">
        <v>23</v>
      </c>
      <c r="M19" s="230">
        <v>0</v>
      </c>
      <c r="N19" s="230">
        <f t="shared" si="1"/>
        <v>230</v>
      </c>
    </row>
    <row r="20" spans="1:14" x14ac:dyDescent="0.25">
      <c r="A20" s="229" t="s">
        <v>342</v>
      </c>
      <c r="B20" s="230">
        <v>0</v>
      </c>
      <c r="C20" s="230">
        <v>5</v>
      </c>
      <c r="D20" s="230">
        <v>5</v>
      </c>
      <c r="E20" s="230">
        <v>5</v>
      </c>
      <c r="F20" s="230">
        <v>5</v>
      </c>
      <c r="G20" s="230">
        <v>5</v>
      </c>
      <c r="H20" s="230">
        <v>5</v>
      </c>
      <c r="I20" s="230">
        <v>5</v>
      </c>
      <c r="J20" s="230">
        <v>5</v>
      </c>
      <c r="K20" s="230">
        <v>5</v>
      </c>
      <c r="L20" s="230">
        <v>5</v>
      </c>
      <c r="M20" s="230">
        <v>0</v>
      </c>
      <c r="N20" s="230">
        <f t="shared" si="1"/>
        <v>50</v>
      </c>
    </row>
    <row r="21" spans="1:14" x14ac:dyDescent="0.25">
      <c r="A21" s="229" t="s">
        <v>260</v>
      </c>
      <c r="B21" s="230">
        <v>20</v>
      </c>
      <c r="C21" s="230">
        <v>0</v>
      </c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f>SUM(B21:M21)</f>
        <v>20</v>
      </c>
    </row>
    <row r="22" spans="1:14" x14ac:dyDescent="0.25">
      <c r="A22" s="229" t="s">
        <v>263</v>
      </c>
      <c r="B22" s="230">
        <v>0</v>
      </c>
      <c r="C22" s="230">
        <v>20</v>
      </c>
      <c r="D22" s="230">
        <v>20</v>
      </c>
      <c r="E22" s="230">
        <v>20</v>
      </c>
      <c r="F22" s="230">
        <v>20</v>
      </c>
      <c r="G22" s="230">
        <v>20</v>
      </c>
      <c r="H22" s="230">
        <v>20</v>
      </c>
      <c r="I22" s="230">
        <v>20</v>
      </c>
      <c r="J22" s="230">
        <v>20</v>
      </c>
      <c r="K22" s="230">
        <v>20</v>
      </c>
      <c r="L22" s="230">
        <v>20</v>
      </c>
      <c r="M22" s="230">
        <v>0</v>
      </c>
      <c r="N22" s="230">
        <f t="shared" si="1"/>
        <v>200</v>
      </c>
    </row>
    <row r="23" spans="1:14" x14ac:dyDescent="0.25">
      <c r="A23" s="229" t="s">
        <v>347</v>
      </c>
      <c r="B23" s="230">
        <v>20</v>
      </c>
      <c r="C23" s="230">
        <v>0</v>
      </c>
      <c r="D23" s="230">
        <v>0</v>
      </c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f t="shared" si="1"/>
        <v>20</v>
      </c>
    </row>
    <row r="24" spans="1:14" x14ac:dyDescent="0.25">
      <c r="A24" s="229" t="s">
        <v>350</v>
      </c>
      <c r="B24" s="230">
        <v>0</v>
      </c>
      <c r="C24" s="230">
        <v>150</v>
      </c>
      <c r="D24" s="230">
        <v>0</v>
      </c>
      <c r="E24" s="230">
        <v>0</v>
      </c>
      <c r="F24" s="230">
        <v>0</v>
      </c>
      <c r="G24" s="230">
        <v>0</v>
      </c>
      <c r="H24" s="230">
        <v>150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f t="shared" si="1"/>
        <v>300</v>
      </c>
    </row>
    <row r="25" spans="1:14" x14ac:dyDescent="0.25">
      <c r="A25" s="281" t="s">
        <v>190</v>
      </c>
      <c r="B25" s="282">
        <f t="shared" ref="B25:N25" si="2">SUM(B11:B24)</f>
        <v>1785</v>
      </c>
      <c r="C25" s="282">
        <f t="shared" si="2"/>
        <v>790</v>
      </c>
      <c r="D25" s="282">
        <f t="shared" si="2"/>
        <v>703</v>
      </c>
      <c r="E25" s="282">
        <f t="shared" si="2"/>
        <v>905</v>
      </c>
      <c r="F25" s="282">
        <f t="shared" si="2"/>
        <v>655</v>
      </c>
      <c r="G25" s="282">
        <f t="shared" si="2"/>
        <v>405</v>
      </c>
      <c r="H25" s="282">
        <f t="shared" si="2"/>
        <v>853</v>
      </c>
      <c r="I25" s="282">
        <f t="shared" si="2"/>
        <v>953</v>
      </c>
      <c r="J25" s="282">
        <f t="shared" si="2"/>
        <v>655</v>
      </c>
      <c r="K25" s="282">
        <f t="shared" si="2"/>
        <v>405</v>
      </c>
      <c r="L25" s="282">
        <f t="shared" si="2"/>
        <v>405</v>
      </c>
      <c r="M25" s="282">
        <f t="shared" si="2"/>
        <v>10</v>
      </c>
      <c r="N25" s="282">
        <f t="shared" si="2"/>
        <v>8524</v>
      </c>
    </row>
    <row r="26" spans="1:14" x14ac:dyDescent="0.25">
      <c r="A26" s="283" t="s">
        <v>191</v>
      </c>
      <c r="B26" s="282">
        <f t="shared" ref="B26:N26" si="3">SUM(B25)</f>
        <v>1785</v>
      </c>
      <c r="C26" s="282">
        <f t="shared" ref="C26:M26" si="4">SUM(C25)</f>
        <v>790</v>
      </c>
      <c r="D26" s="282">
        <f t="shared" si="4"/>
        <v>703</v>
      </c>
      <c r="E26" s="282">
        <f t="shared" si="4"/>
        <v>905</v>
      </c>
      <c r="F26" s="282">
        <f t="shared" si="4"/>
        <v>655</v>
      </c>
      <c r="G26" s="282">
        <f t="shared" si="4"/>
        <v>405</v>
      </c>
      <c r="H26" s="282">
        <f t="shared" si="4"/>
        <v>853</v>
      </c>
      <c r="I26" s="282">
        <f t="shared" si="4"/>
        <v>953</v>
      </c>
      <c r="J26" s="282">
        <f t="shared" si="4"/>
        <v>655</v>
      </c>
      <c r="K26" s="282">
        <f t="shared" si="4"/>
        <v>405</v>
      </c>
      <c r="L26" s="282">
        <f t="shared" si="4"/>
        <v>405</v>
      </c>
      <c r="M26" s="282">
        <f t="shared" si="4"/>
        <v>10</v>
      </c>
      <c r="N26" s="282">
        <f t="shared" si="3"/>
        <v>8524</v>
      </c>
    </row>
    <row r="27" spans="1:14" x14ac:dyDescent="0.25">
      <c r="A27" s="276" t="s">
        <v>192</v>
      </c>
      <c r="B27" s="277">
        <f t="shared" ref="B27:N27" si="5">B8-B26</f>
        <v>-1785</v>
      </c>
      <c r="C27" s="277">
        <f t="shared" si="5"/>
        <v>-790</v>
      </c>
      <c r="D27" s="277">
        <f t="shared" si="5"/>
        <v>-703</v>
      </c>
      <c r="E27" s="277">
        <f t="shared" si="5"/>
        <v>-905</v>
      </c>
      <c r="F27" s="277">
        <f t="shared" si="5"/>
        <v>-655</v>
      </c>
      <c r="G27" s="277">
        <f t="shared" si="5"/>
        <v>-405</v>
      </c>
      <c r="H27" s="277">
        <f t="shared" si="5"/>
        <v>-853</v>
      </c>
      <c r="I27" s="277">
        <f t="shared" si="5"/>
        <v>-953</v>
      </c>
      <c r="J27" s="277">
        <f t="shared" si="5"/>
        <v>-655</v>
      </c>
      <c r="K27" s="277">
        <f t="shared" si="5"/>
        <v>-405</v>
      </c>
      <c r="L27" s="277">
        <f t="shared" si="5"/>
        <v>-405</v>
      </c>
      <c r="M27" s="277">
        <f t="shared" si="5"/>
        <v>-10</v>
      </c>
      <c r="N27" s="277">
        <f t="shared" si="5"/>
        <v>-8524</v>
      </c>
    </row>
    <row r="28" spans="1:14" x14ac:dyDescent="0.25">
      <c r="A28" s="276" t="s">
        <v>29</v>
      </c>
      <c r="B28" s="277">
        <f t="shared" ref="B28:N28" si="6">B27+0+0</f>
        <v>-1785</v>
      </c>
      <c r="C28" s="277">
        <f t="shared" si="6"/>
        <v>-790</v>
      </c>
      <c r="D28" s="277">
        <f t="shared" si="6"/>
        <v>-703</v>
      </c>
      <c r="E28" s="277">
        <f t="shared" si="6"/>
        <v>-905</v>
      </c>
      <c r="F28" s="277">
        <f t="shared" si="6"/>
        <v>-655</v>
      </c>
      <c r="G28" s="277">
        <f t="shared" si="6"/>
        <v>-405</v>
      </c>
      <c r="H28" s="277">
        <f t="shared" si="6"/>
        <v>-853</v>
      </c>
      <c r="I28" s="277">
        <f t="shared" si="6"/>
        <v>-953</v>
      </c>
      <c r="J28" s="277">
        <f t="shared" si="6"/>
        <v>-655</v>
      </c>
      <c r="K28" s="277">
        <f t="shared" si="6"/>
        <v>-405</v>
      </c>
      <c r="L28" s="277">
        <f t="shared" si="6"/>
        <v>-405</v>
      </c>
      <c r="M28" s="277">
        <f t="shared" si="6"/>
        <v>-10</v>
      </c>
      <c r="N28" s="277">
        <f t="shared" si="6"/>
        <v>-8524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F029-63F3-AA49-8F13-E09D174636BE}">
  <sheetPr codeName="Sheet17">
    <tabColor rgb="FFFFC000"/>
    <pageSetUpPr fitToPage="1"/>
  </sheetPr>
  <dimension ref="A1:N20"/>
  <sheetViews>
    <sheetView topLeftCell="K1" zoomScale="101" workbookViewId="0">
      <selection activeCell="L23" sqref="L23"/>
    </sheetView>
  </sheetViews>
  <sheetFormatPr defaultRowHeight="15.75" x14ac:dyDescent="0.25"/>
  <cols>
    <col min="1" max="1" width="46.125" bestFit="1" customWidth="1"/>
    <col min="2" max="2" width="6.625" bestFit="1" customWidth="1"/>
    <col min="3" max="3" width="6.625" customWidth="1"/>
    <col min="4" max="4" width="6.75" bestFit="1" customWidth="1"/>
    <col min="5" max="5" width="6.5" bestFit="1" customWidth="1"/>
    <col min="6" max="6" width="6.875" bestFit="1" customWidth="1"/>
    <col min="7" max="7" width="6.5" bestFit="1" customWidth="1"/>
    <col min="8" max="8" width="6.25" bestFit="1" customWidth="1"/>
    <col min="9" max="9" width="6.75" bestFit="1" customWidth="1"/>
    <col min="10" max="10" width="6.625" bestFit="1" customWidth="1"/>
    <col min="11" max="11" width="6.5" bestFit="1" customWidth="1"/>
    <col min="12" max="12" width="6.875" bestFit="1" customWidth="1"/>
    <col min="13" max="13" width="6.875" customWidth="1"/>
    <col min="14" max="14" width="7.37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87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335</v>
      </c>
      <c r="B11" s="230">
        <v>67</v>
      </c>
      <c r="C11" s="230">
        <v>67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134</v>
      </c>
    </row>
    <row r="12" spans="1:14" x14ac:dyDescent="0.25">
      <c r="A12" s="229" t="s">
        <v>341</v>
      </c>
      <c r="B12" s="230">
        <v>0</v>
      </c>
      <c r="C12" s="230">
        <v>0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ref="N12" si="1">SUM(B12:M12)</f>
        <v>0</v>
      </c>
    </row>
    <row r="13" spans="1:14" x14ac:dyDescent="0.25">
      <c r="A13" s="229" t="s">
        <v>337</v>
      </c>
      <c r="B13" s="230">
        <v>0</v>
      </c>
      <c r="C13" s="230">
        <v>45</v>
      </c>
      <c r="D13" s="230">
        <v>45</v>
      </c>
      <c r="E13" s="230">
        <v>45</v>
      </c>
      <c r="F13" s="230">
        <v>45</v>
      </c>
      <c r="G13" s="230">
        <v>45</v>
      </c>
      <c r="H13" s="230">
        <v>45</v>
      </c>
      <c r="I13" s="230">
        <v>45</v>
      </c>
      <c r="J13" s="230">
        <v>45</v>
      </c>
      <c r="K13" s="230">
        <v>45</v>
      </c>
      <c r="L13" s="230">
        <v>45</v>
      </c>
      <c r="M13" s="230">
        <v>0</v>
      </c>
      <c r="N13" s="230">
        <f>SUM(B13:M13)</f>
        <v>450</v>
      </c>
    </row>
    <row r="14" spans="1:14" x14ac:dyDescent="0.25">
      <c r="A14" s="229" t="s">
        <v>257</v>
      </c>
      <c r="B14" s="230">
        <v>0</v>
      </c>
      <c r="C14" s="230">
        <v>4</v>
      </c>
      <c r="D14" s="230">
        <v>4</v>
      </c>
      <c r="E14" s="230">
        <v>4</v>
      </c>
      <c r="F14" s="230">
        <v>4</v>
      </c>
      <c r="G14" s="230">
        <v>4</v>
      </c>
      <c r="H14" s="230">
        <v>4</v>
      </c>
      <c r="I14" s="230">
        <v>4</v>
      </c>
      <c r="J14" s="230">
        <v>4</v>
      </c>
      <c r="K14" s="230">
        <v>4</v>
      </c>
      <c r="L14" s="230">
        <v>4</v>
      </c>
      <c r="M14" s="230">
        <v>0</v>
      </c>
      <c r="N14" s="230">
        <f>SUM(B14:M14)</f>
        <v>40</v>
      </c>
    </row>
    <row r="15" spans="1:14" x14ac:dyDescent="0.25">
      <c r="A15" s="229" t="s">
        <v>260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>SUM(B15:M15)</f>
        <v>0</v>
      </c>
    </row>
    <row r="16" spans="1:14" x14ac:dyDescent="0.25">
      <c r="A16" s="229" t="s">
        <v>263</v>
      </c>
      <c r="B16" s="230">
        <v>3</v>
      </c>
      <c r="C16" s="230">
        <v>3</v>
      </c>
      <c r="D16" s="230">
        <v>3</v>
      </c>
      <c r="E16" s="230">
        <v>3</v>
      </c>
      <c r="F16" s="230">
        <v>3</v>
      </c>
      <c r="G16" s="230">
        <v>3</v>
      </c>
      <c r="H16" s="230">
        <v>3</v>
      </c>
      <c r="I16" s="230">
        <v>3</v>
      </c>
      <c r="J16" s="230">
        <v>3</v>
      </c>
      <c r="K16" s="230">
        <v>3</v>
      </c>
      <c r="L16" s="230">
        <v>3</v>
      </c>
      <c r="M16" s="230">
        <v>3</v>
      </c>
      <c r="N16" s="230">
        <f>SUM(B16:M16)</f>
        <v>36</v>
      </c>
    </row>
    <row r="17" spans="1:14" x14ac:dyDescent="0.25">
      <c r="A17" s="281" t="s">
        <v>190</v>
      </c>
      <c r="B17" s="282">
        <f>SUM(B11:B16)</f>
        <v>70</v>
      </c>
      <c r="C17" s="282">
        <f t="shared" ref="C17:N17" si="2">SUM(C11:C16)</f>
        <v>119</v>
      </c>
      <c r="D17" s="282">
        <f t="shared" si="2"/>
        <v>52</v>
      </c>
      <c r="E17" s="282">
        <f t="shared" si="2"/>
        <v>52</v>
      </c>
      <c r="F17" s="282">
        <f t="shared" si="2"/>
        <v>52</v>
      </c>
      <c r="G17" s="282">
        <f t="shared" si="2"/>
        <v>52</v>
      </c>
      <c r="H17" s="282">
        <f t="shared" si="2"/>
        <v>52</v>
      </c>
      <c r="I17" s="282">
        <f t="shared" si="2"/>
        <v>52</v>
      </c>
      <c r="J17" s="282">
        <f t="shared" si="2"/>
        <v>52</v>
      </c>
      <c r="K17" s="282">
        <f t="shared" si="2"/>
        <v>52</v>
      </c>
      <c r="L17" s="282">
        <f t="shared" si="2"/>
        <v>52</v>
      </c>
      <c r="M17" s="282">
        <f t="shared" si="2"/>
        <v>3</v>
      </c>
      <c r="N17" s="282">
        <f t="shared" si="2"/>
        <v>660</v>
      </c>
    </row>
    <row r="18" spans="1:14" x14ac:dyDescent="0.25">
      <c r="A18" s="283" t="s">
        <v>191</v>
      </c>
      <c r="B18" s="282">
        <f t="shared" ref="B18" si="3">SUM(B17)</f>
        <v>70</v>
      </c>
      <c r="C18" s="282">
        <f t="shared" ref="C18:N18" si="4">SUM(C17)</f>
        <v>119</v>
      </c>
      <c r="D18" s="282">
        <f t="shared" si="4"/>
        <v>52</v>
      </c>
      <c r="E18" s="282">
        <f t="shared" si="4"/>
        <v>52</v>
      </c>
      <c r="F18" s="282">
        <f t="shared" si="4"/>
        <v>52</v>
      </c>
      <c r="G18" s="282">
        <f t="shared" si="4"/>
        <v>52</v>
      </c>
      <c r="H18" s="282">
        <f t="shared" si="4"/>
        <v>52</v>
      </c>
      <c r="I18" s="282">
        <f t="shared" si="4"/>
        <v>52</v>
      </c>
      <c r="J18" s="282">
        <f t="shared" si="4"/>
        <v>52</v>
      </c>
      <c r="K18" s="282">
        <f t="shared" si="4"/>
        <v>52</v>
      </c>
      <c r="L18" s="282">
        <f t="shared" si="4"/>
        <v>52</v>
      </c>
      <c r="M18" s="282">
        <f t="shared" si="4"/>
        <v>3</v>
      </c>
      <c r="N18" s="282">
        <f t="shared" si="4"/>
        <v>660</v>
      </c>
    </row>
    <row r="19" spans="1:14" x14ac:dyDescent="0.25">
      <c r="A19" s="276" t="s">
        <v>192</v>
      </c>
      <c r="B19" s="277">
        <f>B8-B18</f>
        <v>-70</v>
      </c>
      <c r="C19" s="277">
        <f t="shared" ref="C19:N19" si="5">C8-C18</f>
        <v>-119</v>
      </c>
      <c r="D19" s="277">
        <f t="shared" si="5"/>
        <v>-52</v>
      </c>
      <c r="E19" s="277">
        <f t="shared" si="5"/>
        <v>-52</v>
      </c>
      <c r="F19" s="277">
        <f t="shared" si="5"/>
        <v>-52</v>
      </c>
      <c r="G19" s="277">
        <f t="shared" si="5"/>
        <v>-52</v>
      </c>
      <c r="H19" s="277">
        <f t="shared" si="5"/>
        <v>-52</v>
      </c>
      <c r="I19" s="277">
        <f t="shared" si="5"/>
        <v>-52</v>
      </c>
      <c r="J19" s="277">
        <f t="shared" si="5"/>
        <v>-52</v>
      </c>
      <c r="K19" s="277">
        <f t="shared" si="5"/>
        <v>-52</v>
      </c>
      <c r="L19" s="277">
        <f t="shared" si="5"/>
        <v>-52</v>
      </c>
      <c r="M19" s="277">
        <f t="shared" si="5"/>
        <v>-3</v>
      </c>
      <c r="N19" s="277">
        <f t="shared" si="5"/>
        <v>-660</v>
      </c>
    </row>
    <row r="20" spans="1:14" x14ac:dyDescent="0.25">
      <c r="A20" s="276" t="s">
        <v>29</v>
      </c>
      <c r="B20" s="277">
        <f t="shared" ref="B20:N20" si="6">B19+0+0</f>
        <v>-70</v>
      </c>
      <c r="C20" s="277">
        <f t="shared" si="6"/>
        <v>-119</v>
      </c>
      <c r="D20" s="277">
        <f t="shared" si="6"/>
        <v>-52</v>
      </c>
      <c r="E20" s="277">
        <f t="shared" si="6"/>
        <v>-52</v>
      </c>
      <c r="F20" s="277">
        <f t="shared" si="6"/>
        <v>-52</v>
      </c>
      <c r="G20" s="277">
        <f t="shared" si="6"/>
        <v>-52</v>
      </c>
      <c r="H20" s="277">
        <f t="shared" si="6"/>
        <v>-52</v>
      </c>
      <c r="I20" s="277">
        <f t="shared" si="6"/>
        <v>-52</v>
      </c>
      <c r="J20" s="277">
        <f t="shared" si="6"/>
        <v>-52</v>
      </c>
      <c r="K20" s="277">
        <f t="shared" si="6"/>
        <v>-52</v>
      </c>
      <c r="L20" s="277">
        <f t="shared" si="6"/>
        <v>-52</v>
      </c>
      <c r="M20" s="277">
        <f t="shared" si="6"/>
        <v>-3</v>
      </c>
      <c r="N20" s="277">
        <f t="shared" si="6"/>
        <v>-660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61CF-9CE6-1944-B03D-1F2F1970BB83}">
  <sheetPr codeName="Sheet18">
    <tabColor rgb="FFFFC000"/>
    <pageSetUpPr fitToPage="1"/>
  </sheetPr>
  <dimension ref="A1:P25"/>
  <sheetViews>
    <sheetView zoomScale="120" zoomScaleNormal="120" workbookViewId="0">
      <selection activeCell="J14" sqref="J14"/>
    </sheetView>
  </sheetViews>
  <sheetFormatPr defaultRowHeight="15.75" x14ac:dyDescent="0.25"/>
  <cols>
    <col min="1" max="1" width="46.125" bestFit="1" customWidth="1"/>
    <col min="2" max="2" width="6.25" bestFit="1" customWidth="1"/>
    <col min="3" max="3" width="6.25" customWidth="1"/>
    <col min="4" max="5" width="6.25" bestFit="1" customWidth="1"/>
    <col min="6" max="6" width="9" customWidth="1"/>
    <col min="7" max="7" width="7.375" bestFit="1" customWidth="1"/>
    <col min="8" max="10" width="6.25" bestFit="1" customWidth="1"/>
    <col min="11" max="11" width="7.375" bestFit="1" customWidth="1"/>
    <col min="12" max="12" width="6.25" bestFit="1" customWidth="1"/>
    <col min="13" max="13" width="6.25" customWidth="1"/>
    <col min="14" max="14" width="7.375" bestFit="1" customWidth="1"/>
  </cols>
  <sheetData>
    <row r="1" spans="1:16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6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6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6" ht="18" x14ac:dyDescent="0.25">
      <c r="A4" s="374" t="s">
        <v>89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6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6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6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6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6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</row>
    <row r="10" spans="1:16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</row>
    <row r="11" spans="1:16" x14ac:dyDescent="0.25">
      <c r="A11" s="229" t="s">
        <v>335</v>
      </c>
      <c r="B11" s="230">
        <v>100</v>
      </c>
      <c r="C11" s="230">
        <v>100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 t="shared" ref="N11:N16" si="1">SUM(B11:M11)</f>
        <v>200</v>
      </c>
    </row>
    <row r="12" spans="1:16" x14ac:dyDescent="0.25">
      <c r="A12" s="229" t="s">
        <v>336</v>
      </c>
      <c r="B12" s="230">
        <v>0</v>
      </c>
      <c r="C12" s="230">
        <v>0</v>
      </c>
      <c r="D12" s="230">
        <v>0</v>
      </c>
      <c r="E12" s="230">
        <v>0</v>
      </c>
      <c r="F12" s="230">
        <v>1000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 t="shared" si="1"/>
        <v>1000</v>
      </c>
    </row>
    <row r="13" spans="1:16" x14ac:dyDescent="0.25">
      <c r="A13" s="229" t="s">
        <v>337</v>
      </c>
      <c r="B13" s="230">
        <v>0</v>
      </c>
      <c r="C13" s="230">
        <v>200</v>
      </c>
      <c r="D13" s="230">
        <v>200</v>
      </c>
      <c r="E13" s="230">
        <v>200</v>
      </c>
      <c r="F13" s="230">
        <v>200</v>
      </c>
      <c r="G13" s="230">
        <v>200</v>
      </c>
      <c r="H13" s="230">
        <v>200</v>
      </c>
      <c r="I13" s="230">
        <v>200</v>
      </c>
      <c r="J13" s="230">
        <v>200</v>
      </c>
      <c r="K13" s="230">
        <v>200</v>
      </c>
      <c r="L13" s="230">
        <v>200</v>
      </c>
      <c r="M13" s="230">
        <v>0</v>
      </c>
      <c r="N13" s="230">
        <f t="shared" si="1"/>
        <v>2000</v>
      </c>
    </row>
    <row r="14" spans="1:16" x14ac:dyDescent="0.25">
      <c r="A14" s="229" t="s">
        <v>257</v>
      </c>
      <c r="B14" s="230">
        <v>0</v>
      </c>
      <c r="C14" s="230">
        <v>20</v>
      </c>
      <c r="D14" s="230">
        <v>20</v>
      </c>
      <c r="E14" s="230">
        <v>20</v>
      </c>
      <c r="F14" s="230">
        <v>20</v>
      </c>
      <c r="G14" s="230">
        <v>20</v>
      </c>
      <c r="H14" s="230">
        <v>20</v>
      </c>
      <c r="I14" s="230">
        <v>20</v>
      </c>
      <c r="J14" s="230">
        <v>20</v>
      </c>
      <c r="K14" s="230">
        <v>20</v>
      </c>
      <c r="L14" s="230">
        <v>20</v>
      </c>
      <c r="M14" s="230">
        <v>0</v>
      </c>
      <c r="N14" s="230">
        <f t="shared" si="1"/>
        <v>200</v>
      </c>
    </row>
    <row r="15" spans="1:16" x14ac:dyDescent="0.25">
      <c r="A15" s="229" t="s">
        <v>351</v>
      </c>
      <c r="B15" s="230">
        <v>10</v>
      </c>
      <c r="C15" s="230">
        <v>10</v>
      </c>
      <c r="D15" s="230">
        <v>10</v>
      </c>
      <c r="E15" s="230">
        <v>10</v>
      </c>
      <c r="F15" s="230">
        <v>10</v>
      </c>
      <c r="G15" s="230">
        <v>10</v>
      </c>
      <c r="H15" s="230">
        <v>10</v>
      </c>
      <c r="I15" s="230">
        <v>10</v>
      </c>
      <c r="J15" s="230">
        <v>10</v>
      </c>
      <c r="K15" s="230">
        <v>10</v>
      </c>
      <c r="L15" s="230">
        <v>10</v>
      </c>
      <c r="M15" s="230">
        <v>10</v>
      </c>
      <c r="N15" s="230">
        <f t="shared" si="1"/>
        <v>120</v>
      </c>
    </row>
    <row r="16" spans="1:16" x14ac:dyDescent="0.25">
      <c r="A16" s="229" t="s">
        <v>263</v>
      </c>
      <c r="B16" s="230">
        <v>5</v>
      </c>
      <c r="C16" s="230">
        <v>5</v>
      </c>
      <c r="D16" s="230">
        <v>5</v>
      </c>
      <c r="E16" s="230">
        <v>5</v>
      </c>
      <c r="F16" s="230">
        <v>5</v>
      </c>
      <c r="G16" s="230">
        <v>5</v>
      </c>
      <c r="H16" s="230">
        <v>5</v>
      </c>
      <c r="I16" s="230">
        <v>5</v>
      </c>
      <c r="J16" s="230">
        <v>5</v>
      </c>
      <c r="K16" s="230">
        <v>5</v>
      </c>
      <c r="L16" s="230">
        <v>5</v>
      </c>
      <c r="M16" s="230">
        <v>5</v>
      </c>
      <c r="N16" s="230">
        <f t="shared" si="1"/>
        <v>60</v>
      </c>
    </row>
    <row r="17" spans="1:14" x14ac:dyDescent="0.25">
      <c r="A17" s="281" t="s">
        <v>190</v>
      </c>
      <c r="B17" s="282">
        <f>SUM(B11:B16)</f>
        <v>115</v>
      </c>
      <c r="C17" s="282">
        <f t="shared" ref="C17:N17" si="2">SUM(C11:C16)</f>
        <v>335</v>
      </c>
      <c r="D17" s="282">
        <f t="shared" si="2"/>
        <v>235</v>
      </c>
      <c r="E17" s="282">
        <f t="shared" si="2"/>
        <v>235</v>
      </c>
      <c r="F17" s="282">
        <f t="shared" si="2"/>
        <v>1235</v>
      </c>
      <c r="G17" s="282">
        <f t="shared" si="2"/>
        <v>235</v>
      </c>
      <c r="H17" s="282">
        <f t="shared" si="2"/>
        <v>235</v>
      </c>
      <c r="I17" s="282">
        <f t="shared" si="2"/>
        <v>235</v>
      </c>
      <c r="J17" s="282">
        <f t="shared" si="2"/>
        <v>235</v>
      </c>
      <c r="K17" s="282">
        <f t="shared" si="2"/>
        <v>235</v>
      </c>
      <c r="L17" s="282">
        <f t="shared" si="2"/>
        <v>235</v>
      </c>
      <c r="M17" s="282">
        <f t="shared" si="2"/>
        <v>15</v>
      </c>
      <c r="N17" s="282">
        <f t="shared" si="2"/>
        <v>3580</v>
      </c>
    </row>
    <row r="18" spans="1:14" x14ac:dyDescent="0.25">
      <c r="A18" s="283" t="s">
        <v>191</v>
      </c>
      <c r="B18" s="282">
        <f>SUM(B17)</f>
        <v>115</v>
      </c>
      <c r="C18" s="282">
        <f t="shared" ref="C18:N18" si="3">SUM(C17)</f>
        <v>335</v>
      </c>
      <c r="D18" s="282">
        <f t="shared" si="3"/>
        <v>235</v>
      </c>
      <c r="E18" s="282">
        <f t="shared" si="3"/>
        <v>235</v>
      </c>
      <c r="F18" s="282">
        <f t="shared" si="3"/>
        <v>1235</v>
      </c>
      <c r="G18" s="282">
        <f t="shared" si="3"/>
        <v>235</v>
      </c>
      <c r="H18" s="282">
        <f t="shared" si="3"/>
        <v>235</v>
      </c>
      <c r="I18" s="282">
        <f t="shared" si="3"/>
        <v>235</v>
      </c>
      <c r="J18" s="282">
        <f t="shared" si="3"/>
        <v>235</v>
      </c>
      <c r="K18" s="282">
        <f t="shared" si="3"/>
        <v>235</v>
      </c>
      <c r="L18" s="282">
        <f t="shared" si="3"/>
        <v>235</v>
      </c>
      <c r="M18" s="282">
        <f t="shared" si="3"/>
        <v>15</v>
      </c>
      <c r="N18" s="282">
        <f t="shared" si="3"/>
        <v>3580</v>
      </c>
    </row>
    <row r="19" spans="1:14" x14ac:dyDescent="0.25">
      <c r="A19" s="276" t="s">
        <v>192</v>
      </c>
      <c r="B19" s="277">
        <f t="shared" ref="B19:N19" si="4">B8-B18</f>
        <v>-115</v>
      </c>
      <c r="C19" s="277">
        <f t="shared" si="4"/>
        <v>-335</v>
      </c>
      <c r="D19" s="277">
        <f t="shared" si="4"/>
        <v>-235</v>
      </c>
      <c r="E19" s="277">
        <f t="shared" si="4"/>
        <v>-235</v>
      </c>
      <c r="F19" s="277">
        <f t="shared" si="4"/>
        <v>-1235</v>
      </c>
      <c r="G19" s="277">
        <f t="shared" si="4"/>
        <v>-235</v>
      </c>
      <c r="H19" s="277">
        <f t="shared" si="4"/>
        <v>-235</v>
      </c>
      <c r="I19" s="277">
        <f t="shared" si="4"/>
        <v>-235</v>
      </c>
      <c r="J19" s="277">
        <f t="shared" si="4"/>
        <v>-235</v>
      </c>
      <c r="K19" s="277">
        <f t="shared" si="4"/>
        <v>-235</v>
      </c>
      <c r="L19" s="277">
        <f t="shared" si="4"/>
        <v>-235</v>
      </c>
      <c r="M19" s="277">
        <f t="shared" si="4"/>
        <v>-15</v>
      </c>
      <c r="N19" s="277">
        <f t="shared" si="4"/>
        <v>-3580</v>
      </c>
    </row>
    <row r="20" spans="1:14" x14ac:dyDescent="0.25">
      <c r="A20" s="278" t="s">
        <v>193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</row>
    <row r="21" spans="1:14" x14ac:dyDescent="0.25">
      <c r="A21" s="280" t="s">
        <v>196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</row>
    <row r="22" spans="1:14" x14ac:dyDescent="0.25">
      <c r="A22" s="229" t="s">
        <v>271</v>
      </c>
      <c r="B22" s="230">
        <v>0</v>
      </c>
      <c r="C22" s="230">
        <v>0</v>
      </c>
      <c r="D22" s="230">
        <v>0</v>
      </c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f>SUM(B22:M22)</f>
        <v>0</v>
      </c>
    </row>
    <row r="23" spans="1:14" x14ac:dyDescent="0.25">
      <c r="A23" s="281" t="s">
        <v>197</v>
      </c>
      <c r="B23" s="282">
        <f t="shared" ref="B23:N24" si="5">SUM(B22)</f>
        <v>0</v>
      </c>
      <c r="C23" s="282">
        <f t="shared" ref="C23:M24" si="6">SUM(C22)</f>
        <v>0</v>
      </c>
      <c r="D23" s="282">
        <f t="shared" si="6"/>
        <v>0</v>
      </c>
      <c r="E23" s="282">
        <f t="shared" si="6"/>
        <v>0</v>
      </c>
      <c r="F23" s="282">
        <f t="shared" si="6"/>
        <v>0</v>
      </c>
      <c r="G23" s="282">
        <f t="shared" si="6"/>
        <v>0</v>
      </c>
      <c r="H23" s="282">
        <f t="shared" si="6"/>
        <v>0</v>
      </c>
      <c r="I23" s="282">
        <f t="shared" si="6"/>
        <v>0</v>
      </c>
      <c r="J23" s="282">
        <f t="shared" si="6"/>
        <v>0</v>
      </c>
      <c r="K23" s="282">
        <f t="shared" si="6"/>
        <v>0</v>
      </c>
      <c r="L23" s="282">
        <f t="shared" si="6"/>
        <v>0</v>
      </c>
      <c r="M23" s="282">
        <f t="shared" si="6"/>
        <v>0</v>
      </c>
      <c r="N23" s="282">
        <f t="shared" si="5"/>
        <v>0</v>
      </c>
    </row>
    <row r="24" spans="1:14" x14ac:dyDescent="0.25">
      <c r="A24" s="283" t="s">
        <v>200</v>
      </c>
      <c r="B24" s="282">
        <f t="shared" si="5"/>
        <v>0</v>
      </c>
      <c r="C24" s="282">
        <f t="shared" si="6"/>
        <v>0</v>
      </c>
      <c r="D24" s="282">
        <f t="shared" si="6"/>
        <v>0</v>
      </c>
      <c r="E24" s="282">
        <f t="shared" si="6"/>
        <v>0</v>
      </c>
      <c r="F24" s="282">
        <f t="shared" si="6"/>
        <v>0</v>
      </c>
      <c r="G24" s="282">
        <f t="shared" si="6"/>
        <v>0</v>
      </c>
      <c r="H24" s="282">
        <f t="shared" si="6"/>
        <v>0</v>
      </c>
      <c r="I24" s="282">
        <f t="shared" si="6"/>
        <v>0</v>
      </c>
      <c r="J24" s="282">
        <f t="shared" si="6"/>
        <v>0</v>
      </c>
      <c r="K24" s="282">
        <f t="shared" si="6"/>
        <v>0</v>
      </c>
      <c r="L24" s="282">
        <f t="shared" si="6"/>
        <v>0</v>
      </c>
      <c r="M24" s="282">
        <f t="shared" si="6"/>
        <v>0</v>
      </c>
      <c r="N24" s="282">
        <f t="shared" si="5"/>
        <v>0</v>
      </c>
    </row>
    <row r="25" spans="1:14" x14ac:dyDescent="0.25">
      <c r="A25" s="276" t="s">
        <v>29</v>
      </c>
      <c r="B25" s="277">
        <f t="shared" ref="B25:N25" si="7">B19+B24+0</f>
        <v>-115</v>
      </c>
      <c r="C25" s="277">
        <f t="shared" si="7"/>
        <v>-335</v>
      </c>
      <c r="D25" s="277">
        <f t="shared" si="7"/>
        <v>-235</v>
      </c>
      <c r="E25" s="277">
        <f t="shared" si="7"/>
        <v>-235</v>
      </c>
      <c r="F25" s="277">
        <f t="shared" si="7"/>
        <v>-1235</v>
      </c>
      <c r="G25" s="277">
        <f t="shared" si="7"/>
        <v>-235</v>
      </c>
      <c r="H25" s="277">
        <f t="shared" si="7"/>
        <v>-235</v>
      </c>
      <c r="I25" s="277">
        <f t="shared" si="7"/>
        <v>-235</v>
      </c>
      <c r="J25" s="277">
        <f t="shared" si="7"/>
        <v>-235</v>
      </c>
      <c r="K25" s="277">
        <f t="shared" si="7"/>
        <v>-235</v>
      </c>
      <c r="L25" s="277">
        <f t="shared" si="7"/>
        <v>-235</v>
      </c>
      <c r="M25" s="277">
        <f t="shared" si="7"/>
        <v>-15</v>
      </c>
      <c r="N25" s="277">
        <f t="shared" si="7"/>
        <v>-3580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196A-4712-BF4E-AC7E-B26FDD1E2071}">
  <sheetPr codeName="Sheet19">
    <tabColor rgb="FFFFC000"/>
    <pageSetUpPr fitToPage="1"/>
  </sheetPr>
  <dimension ref="A1:N28"/>
  <sheetViews>
    <sheetView zoomScale="110" zoomScaleNormal="110" workbookViewId="0">
      <selection activeCell="Q22" sqref="Q22"/>
    </sheetView>
  </sheetViews>
  <sheetFormatPr defaultColWidth="6.5" defaultRowHeight="15.75" x14ac:dyDescent="0.25"/>
  <cols>
    <col min="1" max="1" width="46.125" bestFit="1" customWidth="1"/>
    <col min="2" max="2" width="6.5" bestFit="1" customWidth="1"/>
    <col min="3" max="3" width="6.5" customWidth="1"/>
    <col min="4" max="4" width="6.75" bestFit="1" customWidth="1"/>
    <col min="5" max="5" width="6.5" bestFit="1" customWidth="1"/>
    <col min="6" max="6" width="7.25" bestFit="1" customWidth="1"/>
    <col min="7" max="8" width="6.125" bestFit="1" customWidth="1"/>
    <col min="9" max="9" width="6.75" bestFit="1" customWidth="1"/>
    <col min="10" max="10" width="6.5" bestFit="1" customWidth="1"/>
    <col min="11" max="12" width="6.125" bestFit="1" customWidth="1"/>
    <col min="13" max="13" width="6.125" customWidth="1"/>
    <col min="14" max="14" width="7.2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352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59" t="s">
        <v>187</v>
      </c>
      <c r="B8" s="160">
        <f t="shared" ref="B8:M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>SUM(B8:M8)</f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229" t="s">
        <v>335</v>
      </c>
      <c r="B11" s="165">
        <v>70</v>
      </c>
      <c r="C11" s="165">
        <v>70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140</v>
      </c>
    </row>
    <row r="12" spans="1:14" x14ac:dyDescent="0.25">
      <c r="A12" s="229" t="s">
        <v>336</v>
      </c>
      <c r="B12" s="165">
        <v>0</v>
      </c>
      <c r="C12" s="165">
        <v>475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ref="N12:N19" si="1">SUM(B12:M12)</f>
        <v>475</v>
      </c>
    </row>
    <row r="13" spans="1:14" x14ac:dyDescent="0.25">
      <c r="A13" s="164" t="s">
        <v>337</v>
      </c>
      <c r="B13" s="165">
        <v>0</v>
      </c>
      <c r="C13" s="165">
        <v>66</v>
      </c>
      <c r="D13" s="165">
        <v>66</v>
      </c>
      <c r="E13" s="165">
        <v>66</v>
      </c>
      <c r="F13" s="165">
        <v>66</v>
      </c>
      <c r="G13" s="165">
        <v>66</v>
      </c>
      <c r="H13" s="165">
        <v>66</v>
      </c>
      <c r="I13" s="165">
        <v>66</v>
      </c>
      <c r="J13" s="165">
        <v>66</v>
      </c>
      <c r="K13" s="165">
        <v>66</v>
      </c>
      <c r="L13" s="165">
        <v>66</v>
      </c>
      <c r="M13" s="165">
        <v>0</v>
      </c>
      <c r="N13" s="165">
        <f>SUM(B13:M13)</f>
        <v>660</v>
      </c>
    </row>
    <row r="14" spans="1:14" x14ac:dyDescent="0.25">
      <c r="A14" s="229" t="s">
        <v>25</v>
      </c>
      <c r="B14" s="165">
        <v>9.5</v>
      </c>
      <c r="C14" s="165">
        <v>9.5</v>
      </c>
      <c r="D14" s="165">
        <v>9.5</v>
      </c>
      <c r="E14" s="165">
        <v>9.5</v>
      </c>
      <c r="F14" s="165">
        <v>9.5</v>
      </c>
      <c r="G14" s="165">
        <v>9.5</v>
      </c>
      <c r="H14" s="165">
        <v>9.5</v>
      </c>
      <c r="I14" s="165">
        <v>9.5</v>
      </c>
      <c r="J14" s="165">
        <v>9.5</v>
      </c>
      <c r="K14" s="165">
        <v>9.5</v>
      </c>
      <c r="L14" s="165">
        <v>0</v>
      </c>
      <c r="M14" s="165">
        <v>0</v>
      </c>
      <c r="N14" s="165">
        <f t="shared" si="1"/>
        <v>95</v>
      </c>
    </row>
    <row r="15" spans="1:14" x14ac:dyDescent="0.25">
      <c r="A15" s="164" t="s">
        <v>257</v>
      </c>
      <c r="B15" s="165">
        <v>0</v>
      </c>
      <c r="C15" s="165">
        <v>47.5</v>
      </c>
      <c r="D15" s="165">
        <v>47.5</v>
      </c>
      <c r="E15" s="165">
        <v>47.5</v>
      </c>
      <c r="F15" s="165">
        <v>47.5</v>
      </c>
      <c r="G15" s="165">
        <v>47.5</v>
      </c>
      <c r="H15" s="165">
        <v>47.5</v>
      </c>
      <c r="I15" s="165">
        <v>47.5</v>
      </c>
      <c r="J15" s="165">
        <v>47.5</v>
      </c>
      <c r="K15" s="165">
        <v>47.5</v>
      </c>
      <c r="L15" s="165">
        <v>47.5</v>
      </c>
      <c r="M15" s="165">
        <v>0</v>
      </c>
      <c r="N15" s="165">
        <f t="shared" si="1"/>
        <v>475</v>
      </c>
    </row>
    <row r="16" spans="1:14" x14ac:dyDescent="0.25">
      <c r="A16" s="164" t="s">
        <v>353</v>
      </c>
      <c r="B16" s="165">
        <v>47.5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47.5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f>SUM(B16:M16)</f>
        <v>95</v>
      </c>
    </row>
    <row r="17" spans="1:14" x14ac:dyDescent="0.25">
      <c r="A17" s="229" t="s">
        <v>260</v>
      </c>
      <c r="B17" s="165">
        <v>20</v>
      </c>
      <c r="C17" s="165">
        <v>0</v>
      </c>
      <c r="D17" s="165">
        <v>0</v>
      </c>
      <c r="E17" s="165">
        <v>0</v>
      </c>
      <c r="F17" s="165">
        <v>0</v>
      </c>
      <c r="G17" s="165">
        <v>20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f t="shared" si="1"/>
        <v>40</v>
      </c>
    </row>
    <row r="18" spans="1:14" x14ac:dyDescent="0.25">
      <c r="A18" s="229" t="s">
        <v>263</v>
      </c>
      <c r="B18" s="165">
        <v>3</v>
      </c>
      <c r="C18" s="165">
        <v>3</v>
      </c>
      <c r="D18" s="165">
        <v>3</v>
      </c>
      <c r="E18" s="165">
        <v>3</v>
      </c>
      <c r="F18" s="165">
        <v>3</v>
      </c>
      <c r="G18" s="165">
        <v>3</v>
      </c>
      <c r="H18" s="165">
        <v>3</v>
      </c>
      <c r="I18" s="165">
        <v>3</v>
      </c>
      <c r="J18" s="165">
        <v>3</v>
      </c>
      <c r="K18" s="165">
        <v>3</v>
      </c>
      <c r="L18" s="165">
        <v>3</v>
      </c>
      <c r="M18" s="165">
        <v>3</v>
      </c>
      <c r="N18" s="165">
        <f t="shared" si="1"/>
        <v>36</v>
      </c>
    </row>
    <row r="19" spans="1:14" x14ac:dyDescent="0.25">
      <c r="A19" s="229" t="s">
        <v>320</v>
      </c>
      <c r="B19" s="165">
        <v>0</v>
      </c>
      <c r="C19" s="165">
        <v>9.6999999999999993</v>
      </c>
      <c r="D19" s="165">
        <v>9.6999999999999993</v>
      </c>
      <c r="E19" s="165">
        <v>9.6999999999999993</v>
      </c>
      <c r="F19" s="165">
        <v>9.6999999999999993</v>
      </c>
      <c r="G19" s="165">
        <v>9.6999999999999993</v>
      </c>
      <c r="H19" s="165">
        <v>9.6999999999999993</v>
      </c>
      <c r="I19" s="165">
        <v>9.6999999999999993</v>
      </c>
      <c r="J19" s="165">
        <v>9.6999999999999993</v>
      </c>
      <c r="K19" s="165">
        <v>9.6999999999999993</v>
      </c>
      <c r="L19" s="165">
        <v>9.6999999999999993</v>
      </c>
      <c r="M19" s="165">
        <v>0</v>
      </c>
      <c r="N19" s="165">
        <f t="shared" si="1"/>
        <v>97.000000000000014</v>
      </c>
    </row>
    <row r="20" spans="1:14" x14ac:dyDescent="0.25">
      <c r="A20" s="166" t="s">
        <v>190</v>
      </c>
      <c r="B20" s="167">
        <f t="shared" ref="B20:N20" si="2">SUM(B11:B19)</f>
        <v>150</v>
      </c>
      <c r="C20" s="167">
        <f t="shared" si="2"/>
        <v>680.7</v>
      </c>
      <c r="D20" s="167">
        <f t="shared" si="2"/>
        <v>135.69999999999999</v>
      </c>
      <c r="E20" s="167">
        <f t="shared" si="2"/>
        <v>135.69999999999999</v>
      </c>
      <c r="F20" s="167">
        <f t="shared" si="2"/>
        <v>135.69999999999999</v>
      </c>
      <c r="G20" s="167">
        <f t="shared" si="2"/>
        <v>155.69999999999999</v>
      </c>
      <c r="H20" s="167">
        <f t="shared" si="2"/>
        <v>183.2</v>
      </c>
      <c r="I20" s="167">
        <f t="shared" si="2"/>
        <v>135.69999999999999</v>
      </c>
      <c r="J20" s="167">
        <f t="shared" si="2"/>
        <v>135.69999999999999</v>
      </c>
      <c r="K20" s="167">
        <f t="shared" si="2"/>
        <v>135.69999999999999</v>
      </c>
      <c r="L20" s="167">
        <f t="shared" si="2"/>
        <v>126.2</v>
      </c>
      <c r="M20" s="167">
        <f t="shared" si="2"/>
        <v>3</v>
      </c>
      <c r="N20" s="167">
        <f t="shared" si="2"/>
        <v>2113</v>
      </c>
    </row>
    <row r="21" spans="1:14" x14ac:dyDescent="0.25">
      <c r="A21" s="168" t="s">
        <v>191</v>
      </c>
      <c r="B21" s="167">
        <f t="shared" ref="B21" si="3">SUM(B20)</f>
        <v>150</v>
      </c>
      <c r="C21" s="167">
        <f t="shared" ref="C21:N21" si="4">SUM(C20)</f>
        <v>680.7</v>
      </c>
      <c r="D21" s="167">
        <f t="shared" si="4"/>
        <v>135.69999999999999</v>
      </c>
      <c r="E21" s="167">
        <f t="shared" si="4"/>
        <v>135.69999999999999</v>
      </c>
      <c r="F21" s="167">
        <f t="shared" si="4"/>
        <v>135.69999999999999</v>
      </c>
      <c r="G21" s="167">
        <f t="shared" si="4"/>
        <v>155.69999999999999</v>
      </c>
      <c r="H21" s="167">
        <f t="shared" si="4"/>
        <v>183.2</v>
      </c>
      <c r="I21" s="167">
        <f t="shared" si="4"/>
        <v>135.69999999999999</v>
      </c>
      <c r="J21" s="167">
        <f t="shared" si="4"/>
        <v>135.69999999999999</v>
      </c>
      <c r="K21" s="167">
        <f t="shared" si="4"/>
        <v>135.69999999999999</v>
      </c>
      <c r="L21" s="167">
        <f t="shared" si="4"/>
        <v>126.2</v>
      </c>
      <c r="M21" s="167">
        <f t="shared" si="4"/>
        <v>3</v>
      </c>
      <c r="N21" s="167">
        <f t="shared" si="4"/>
        <v>2113</v>
      </c>
    </row>
    <row r="22" spans="1:14" x14ac:dyDescent="0.25">
      <c r="A22" s="159" t="s">
        <v>192</v>
      </c>
      <c r="B22" s="160">
        <f t="shared" ref="B22:N22" si="5">B8-B21</f>
        <v>-150</v>
      </c>
      <c r="C22" s="160">
        <f t="shared" si="5"/>
        <v>-680.7</v>
      </c>
      <c r="D22" s="160">
        <f t="shared" si="5"/>
        <v>-135.69999999999999</v>
      </c>
      <c r="E22" s="160">
        <f t="shared" si="5"/>
        <v>-135.69999999999999</v>
      </c>
      <c r="F22" s="160">
        <f t="shared" si="5"/>
        <v>-135.69999999999999</v>
      </c>
      <c r="G22" s="160">
        <f t="shared" si="5"/>
        <v>-155.69999999999999</v>
      </c>
      <c r="H22" s="160">
        <f t="shared" si="5"/>
        <v>-183.2</v>
      </c>
      <c r="I22" s="160">
        <f t="shared" si="5"/>
        <v>-135.69999999999999</v>
      </c>
      <c r="J22" s="160">
        <f t="shared" si="5"/>
        <v>-135.69999999999999</v>
      </c>
      <c r="K22" s="160">
        <f t="shared" si="5"/>
        <v>-135.69999999999999</v>
      </c>
      <c r="L22" s="160">
        <f t="shared" si="5"/>
        <v>-126.2</v>
      </c>
      <c r="M22" s="160">
        <f t="shared" si="5"/>
        <v>-3</v>
      </c>
      <c r="N22" s="160">
        <f t="shared" si="5"/>
        <v>-2113</v>
      </c>
    </row>
    <row r="23" spans="1:14" x14ac:dyDescent="0.25">
      <c r="A23" s="161" t="s">
        <v>193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x14ac:dyDescent="0.25">
      <c r="A24" s="163" t="s">
        <v>196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x14ac:dyDescent="0.25">
      <c r="A25" s="164" t="s">
        <v>224</v>
      </c>
      <c r="B25" s="165">
        <v>0</v>
      </c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f>SUM(B25:M25)</f>
        <v>0</v>
      </c>
    </row>
    <row r="26" spans="1:14" x14ac:dyDescent="0.25">
      <c r="A26" s="166" t="s">
        <v>197</v>
      </c>
      <c r="B26" s="167">
        <f t="shared" ref="B26:B27" si="6">SUM(B25)</f>
        <v>0</v>
      </c>
      <c r="C26" s="167">
        <f t="shared" ref="C26:N27" si="7">SUM(C25)</f>
        <v>0</v>
      </c>
      <c r="D26" s="167">
        <f t="shared" si="7"/>
        <v>0</v>
      </c>
      <c r="E26" s="167">
        <f t="shared" si="7"/>
        <v>0</v>
      </c>
      <c r="F26" s="167">
        <f t="shared" si="7"/>
        <v>0</v>
      </c>
      <c r="G26" s="167">
        <f t="shared" si="7"/>
        <v>0</v>
      </c>
      <c r="H26" s="167">
        <f t="shared" si="7"/>
        <v>0</v>
      </c>
      <c r="I26" s="167">
        <f t="shared" si="7"/>
        <v>0</v>
      </c>
      <c r="J26" s="167">
        <f t="shared" si="7"/>
        <v>0</v>
      </c>
      <c r="K26" s="167">
        <f t="shared" si="7"/>
        <v>0</v>
      </c>
      <c r="L26" s="167">
        <f t="shared" si="7"/>
        <v>0</v>
      </c>
      <c r="M26" s="167">
        <f t="shared" si="7"/>
        <v>0</v>
      </c>
      <c r="N26" s="167">
        <f t="shared" si="7"/>
        <v>0</v>
      </c>
    </row>
    <row r="27" spans="1:14" x14ac:dyDescent="0.25">
      <c r="A27" s="168" t="s">
        <v>200</v>
      </c>
      <c r="B27" s="167">
        <f t="shared" si="6"/>
        <v>0</v>
      </c>
      <c r="C27" s="167">
        <f t="shared" si="7"/>
        <v>0</v>
      </c>
      <c r="D27" s="167">
        <f t="shared" si="7"/>
        <v>0</v>
      </c>
      <c r="E27" s="167">
        <f t="shared" si="7"/>
        <v>0</v>
      </c>
      <c r="F27" s="167">
        <f t="shared" si="7"/>
        <v>0</v>
      </c>
      <c r="G27" s="167">
        <f t="shared" si="7"/>
        <v>0</v>
      </c>
      <c r="H27" s="167">
        <f t="shared" si="7"/>
        <v>0</v>
      </c>
      <c r="I27" s="167">
        <f t="shared" si="7"/>
        <v>0</v>
      </c>
      <c r="J27" s="167">
        <f t="shared" si="7"/>
        <v>0</v>
      </c>
      <c r="K27" s="167">
        <f t="shared" si="7"/>
        <v>0</v>
      </c>
      <c r="L27" s="167">
        <f t="shared" si="7"/>
        <v>0</v>
      </c>
      <c r="M27" s="167">
        <f t="shared" si="7"/>
        <v>0</v>
      </c>
      <c r="N27" s="167">
        <f t="shared" si="7"/>
        <v>0</v>
      </c>
    </row>
    <row r="28" spans="1:14" x14ac:dyDescent="0.25">
      <c r="A28" s="159" t="s">
        <v>29</v>
      </c>
      <c r="B28" s="160">
        <f t="shared" ref="B28:N28" si="8">B22+B27+0</f>
        <v>-150</v>
      </c>
      <c r="C28" s="160">
        <f t="shared" si="8"/>
        <v>-680.7</v>
      </c>
      <c r="D28" s="160">
        <f t="shared" si="8"/>
        <v>-135.69999999999999</v>
      </c>
      <c r="E28" s="160">
        <f t="shared" si="8"/>
        <v>-135.69999999999999</v>
      </c>
      <c r="F28" s="160">
        <f t="shared" si="8"/>
        <v>-135.69999999999999</v>
      </c>
      <c r="G28" s="160">
        <f t="shared" si="8"/>
        <v>-155.69999999999999</v>
      </c>
      <c r="H28" s="160">
        <f t="shared" si="8"/>
        <v>-183.2</v>
      </c>
      <c r="I28" s="160">
        <f t="shared" si="8"/>
        <v>-135.69999999999999</v>
      </c>
      <c r="J28" s="160">
        <f t="shared" si="8"/>
        <v>-135.69999999999999</v>
      </c>
      <c r="K28" s="160">
        <f t="shared" si="8"/>
        <v>-135.69999999999999</v>
      </c>
      <c r="L28" s="160">
        <f t="shared" si="8"/>
        <v>-126.2</v>
      </c>
      <c r="M28" s="160">
        <f t="shared" si="8"/>
        <v>-3</v>
      </c>
      <c r="N28" s="160">
        <f t="shared" si="8"/>
        <v>-2113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0132-2DD6-1A46-B1EB-9CD32E93EF4A}">
  <sheetPr codeName="Sheet20">
    <tabColor rgb="FFFFC000"/>
    <pageSetUpPr fitToPage="1"/>
  </sheetPr>
  <dimension ref="A1:N22"/>
  <sheetViews>
    <sheetView topLeftCell="A12" zoomScale="72" zoomScaleNormal="100" workbookViewId="0">
      <selection activeCell="A12" sqref="A12"/>
    </sheetView>
  </sheetViews>
  <sheetFormatPr defaultRowHeight="15.75" x14ac:dyDescent="0.25"/>
  <cols>
    <col min="1" max="1" width="46.125" bestFit="1" customWidth="1"/>
    <col min="2" max="3" width="7.375" bestFit="1" customWidth="1"/>
    <col min="4" max="4" width="6.75" bestFit="1" customWidth="1"/>
    <col min="5" max="5" width="6.5" bestFit="1" customWidth="1"/>
    <col min="6" max="6" width="7.375" bestFit="1" customWidth="1"/>
    <col min="7" max="7" width="6.5" bestFit="1" customWidth="1"/>
    <col min="8" max="8" width="6.25" bestFit="1" customWidth="1"/>
    <col min="9" max="9" width="6.75" bestFit="1" customWidth="1"/>
    <col min="10" max="11" width="7.375" bestFit="1" customWidth="1"/>
    <col min="12" max="13" width="7.375" customWidth="1"/>
    <col min="14" max="14" width="8.1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354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M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>SUM(B8:M8)</f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335</v>
      </c>
      <c r="B11" s="230">
        <v>150</v>
      </c>
      <c r="C11" s="230">
        <v>150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300</v>
      </c>
    </row>
    <row r="12" spans="1:14" x14ac:dyDescent="0.25">
      <c r="A12" s="229" t="s">
        <v>336</v>
      </c>
      <c r="B12" s="230">
        <v>0</v>
      </c>
      <c r="C12" s="230">
        <v>0</v>
      </c>
      <c r="D12" s="230">
        <v>0</v>
      </c>
      <c r="E12" s="230">
        <v>250</v>
      </c>
      <c r="F12" s="230">
        <v>600</v>
      </c>
      <c r="G12" s="230">
        <v>0</v>
      </c>
      <c r="H12" s="230">
        <v>0</v>
      </c>
      <c r="I12" s="230">
        <v>0</v>
      </c>
      <c r="J12" s="230">
        <v>250</v>
      </c>
      <c r="K12" s="230">
        <v>600</v>
      </c>
      <c r="L12" s="230">
        <v>0</v>
      </c>
      <c r="M12" s="230">
        <v>0</v>
      </c>
      <c r="N12" s="230">
        <f t="shared" ref="N12:N18" si="1">SUM(B12:M12)</f>
        <v>1700</v>
      </c>
    </row>
    <row r="13" spans="1:14" x14ac:dyDescent="0.25">
      <c r="A13" s="229" t="s">
        <v>337</v>
      </c>
      <c r="B13" s="230">
        <v>0</v>
      </c>
      <c r="C13" s="230">
        <v>190</v>
      </c>
      <c r="D13" s="230">
        <v>190</v>
      </c>
      <c r="E13" s="230">
        <v>190</v>
      </c>
      <c r="F13" s="230">
        <v>190</v>
      </c>
      <c r="G13" s="230">
        <v>190</v>
      </c>
      <c r="H13" s="230">
        <v>190</v>
      </c>
      <c r="I13" s="230">
        <v>190</v>
      </c>
      <c r="J13" s="230">
        <v>190</v>
      </c>
      <c r="K13" s="230">
        <v>190</v>
      </c>
      <c r="L13" s="230">
        <v>190</v>
      </c>
      <c r="M13" s="230">
        <v>0</v>
      </c>
      <c r="N13" s="230">
        <f t="shared" si="1"/>
        <v>1900</v>
      </c>
    </row>
    <row r="14" spans="1:14" x14ac:dyDescent="0.25">
      <c r="A14" s="229" t="s">
        <v>257</v>
      </c>
      <c r="B14" s="230">
        <v>0</v>
      </c>
      <c r="C14" s="230">
        <v>38</v>
      </c>
      <c r="D14" s="230">
        <v>38</v>
      </c>
      <c r="E14" s="230">
        <v>38</v>
      </c>
      <c r="F14" s="230">
        <v>38</v>
      </c>
      <c r="G14" s="230">
        <v>38</v>
      </c>
      <c r="H14" s="230">
        <v>38</v>
      </c>
      <c r="I14" s="230">
        <v>38</v>
      </c>
      <c r="J14" s="230">
        <v>38</v>
      </c>
      <c r="K14" s="230">
        <v>38</v>
      </c>
      <c r="L14" s="230">
        <v>38</v>
      </c>
      <c r="M14" s="230">
        <v>0</v>
      </c>
      <c r="N14" s="230">
        <f t="shared" si="1"/>
        <v>380</v>
      </c>
    </row>
    <row r="15" spans="1:14" x14ac:dyDescent="0.25">
      <c r="A15" s="229" t="s">
        <v>319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 t="shared" si="1"/>
        <v>0</v>
      </c>
    </row>
    <row r="16" spans="1:14" x14ac:dyDescent="0.25">
      <c r="A16" s="229" t="s">
        <v>260</v>
      </c>
      <c r="B16" s="230">
        <v>45</v>
      </c>
      <c r="C16" s="230">
        <v>45</v>
      </c>
      <c r="D16" s="230">
        <v>45</v>
      </c>
      <c r="E16" s="230">
        <v>45</v>
      </c>
      <c r="F16" s="230">
        <v>45</v>
      </c>
      <c r="G16" s="230">
        <v>45</v>
      </c>
      <c r="H16" s="230">
        <v>45</v>
      </c>
      <c r="I16" s="230">
        <v>45</v>
      </c>
      <c r="J16" s="230">
        <v>45</v>
      </c>
      <c r="K16" s="230">
        <v>45</v>
      </c>
      <c r="L16" s="230">
        <v>45</v>
      </c>
      <c r="M16" s="230">
        <v>45</v>
      </c>
      <c r="N16" s="230">
        <f t="shared" si="1"/>
        <v>540</v>
      </c>
    </row>
    <row r="17" spans="1:14" x14ac:dyDescent="0.25">
      <c r="A17" s="229" t="s">
        <v>347</v>
      </c>
      <c r="B17" s="230">
        <v>20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 t="shared" si="1"/>
        <v>20</v>
      </c>
    </row>
    <row r="18" spans="1:14" x14ac:dyDescent="0.25">
      <c r="A18" s="229" t="s">
        <v>263</v>
      </c>
      <c r="B18" s="230">
        <v>5</v>
      </c>
      <c r="C18" s="230">
        <v>5</v>
      </c>
      <c r="D18" s="230">
        <v>5</v>
      </c>
      <c r="E18" s="230">
        <v>5</v>
      </c>
      <c r="F18" s="230">
        <v>5</v>
      </c>
      <c r="G18" s="230">
        <v>5</v>
      </c>
      <c r="H18" s="230">
        <v>5</v>
      </c>
      <c r="I18" s="230">
        <v>5</v>
      </c>
      <c r="J18" s="230">
        <v>5</v>
      </c>
      <c r="K18" s="230">
        <v>5</v>
      </c>
      <c r="L18" s="230">
        <v>5</v>
      </c>
      <c r="M18" s="230">
        <v>5</v>
      </c>
      <c r="N18" s="230">
        <f t="shared" si="1"/>
        <v>60</v>
      </c>
    </row>
    <row r="19" spans="1:14" x14ac:dyDescent="0.25">
      <c r="A19" s="281" t="s">
        <v>190</v>
      </c>
      <c r="B19" s="282">
        <f>SUM(B11:B18)</f>
        <v>220</v>
      </c>
      <c r="C19" s="282">
        <f t="shared" ref="C19:N19" si="2">SUM(C11:C18)</f>
        <v>428</v>
      </c>
      <c r="D19" s="282">
        <f t="shared" si="2"/>
        <v>278</v>
      </c>
      <c r="E19" s="282">
        <f t="shared" si="2"/>
        <v>528</v>
      </c>
      <c r="F19" s="282">
        <f t="shared" si="2"/>
        <v>878</v>
      </c>
      <c r="G19" s="282">
        <f t="shared" si="2"/>
        <v>278</v>
      </c>
      <c r="H19" s="282">
        <f t="shared" si="2"/>
        <v>278</v>
      </c>
      <c r="I19" s="282">
        <f t="shared" si="2"/>
        <v>278</v>
      </c>
      <c r="J19" s="282">
        <f t="shared" si="2"/>
        <v>528</v>
      </c>
      <c r="K19" s="282">
        <f t="shared" si="2"/>
        <v>878</v>
      </c>
      <c r="L19" s="282">
        <f t="shared" si="2"/>
        <v>278</v>
      </c>
      <c r="M19" s="282">
        <f t="shared" si="2"/>
        <v>50</v>
      </c>
      <c r="N19" s="282">
        <f t="shared" si="2"/>
        <v>4900</v>
      </c>
    </row>
    <row r="20" spans="1:14" x14ac:dyDescent="0.25">
      <c r="A20" s="283" t="s">
        <v>191</v>
      </c>
      <c r="B20" s="282">
        <f t="shared" ref="B20:N20" si="3">SUM(B19)</f>
        <v>220</v>
      </c>
      <c r="C20" s="282">
        <f t="shared" ref="C20:M20" si="4">SUM(C19)</f>
        <v>428</v>
      </c>
      <c r="D20" s="282">
        <f t="shared" si="4"/>
        <v>278</v>
      </c>
      <c r="E20" s="282">
        <f t="shared" si="4"/>
        <v>528</v>
      </c>
      <c r="F20" s="282">
        <f t="shared" si="4"/>
        <v>878</v>
      </c>
      <c r="G20" s="282">
        <f t="shared" si="4"/>
        <v>278</v>
      </c>
      <c r="H20" s="282">
        <f t="shared" si="4"/>
        <v>278</v>
      </c>
      <c r="I20" s="282">
        <f t="shared" si="4"/>
        <v>278</v>
      </c>
      <c r="J20" s="282">
        <f t="shared" si="4"/>
        <v>528</v>
      </c>
      <c r="K20" s="282">
        <f t="shared" si="4"/>
        <v>878</v>
      </c>
      <c r="L20" s="282">
        <f t="shared" si="4"/>
        <v>278</v>
      </c>
      <c r="M20" s="282">
        <f t="shared" si="4"/>
        <v>50</v>
      </c>
      <c r="N20" s="282">
        <f t="shared" si="3"/>
        <v>4900</v>
      </c>
    </row>
    <row r="21" spans="1:14" x14ac:dyDescent="0.25">
      <c r="A21" s="276" t="s">
        <v>192</v>
      </c>
      <c r="B21" s="277">
        <f t="shared" ref="B21:N21" si="5">B8-B20</f>
        <v>-220</v>
      </c>
      <c r="C21" s="277">
        <f t="shared" si="5"/>
        <v>-428</v>
      </c>
      <c r="D21" s="277">
        <f t="shared" si="5"/>
        <v>-278</v>
      </c>
      <c r="E21" s="277">
        <f t="shared" si="5"/>
        <v>-528</v>
      </c>
      <c r="F21" s="277">
        <f t="shared" si="5"/>
        <v>-878</v>
      </c>
      <c r="G21" s="277">
        <f t="shared" si="5"/>
        <v>-278</v>
      </c>
      <c r="H21" s="277">
        <f t="shared" si="5"/>
        <v>-278</v>
      </c>
      <c r="I21" s="277">
        <f t="shared" si="5"/>
        <v>-278</v>
      </c>
      <c r="J21" s="277">
        <f t="shared" si="5"/>
        <v>-528</v>
      </c>
      <c r="K21" s="277">
        <f t="shared" si="5"/>
        <v>-878</v>
      </c>
      <c r="L21" s="277">
        <f t="shared" si="5"/>
        <v>-278</v>
      </c>
      <c r="M21" s="277">
        <f t="shared" si="5"/>
        <v>-50</v>
      </c>
      <c r="N21" s="277">
        <f t="shared" si="5"/>
        <v>-4900</v>
      </c>
    </row>
    <row r="22" spans="1:14" x14ac:dyDescent="0.25">
      <c r="A22" s="276" t="s">
        <v>29</v>
      </c>
      <c r="B22" s="277">
        <f t="shared" ref="B22:N22" si="6">B21+0+0</f>
        <v>-220</v>
      </c>
      <c r="C22" s="277">
        <f t="shared" si="6"/>
        <v>-428</v>
      </c>
      <c r="D22" s="277">
        <f t="shared" si="6"/>
        <v>-278</v>
      </c>
      <c r="E22" s="277">
        <f t="shared" si="6"/>
        <v>-528</v>
      </c>
      <c r="F22" s="277">
        <f t="shared" si="6"/>
        <v>-878</v>
      </c>
      <c r="G22" s="277">
        <f t="shared" si="6"/>
        <v>-278</v>
      </c>
      <c r="H22" s="277">
        <f t="shared" si="6"/>
        <v>-278</v>
      </c>
      <c r="I22" s="277">
        <f t="shared" si="6"/>
        <v>-278</v>
      </c>
      <c r="J22" s="277">
        <f t="shared" si="6"/>
        <v>-528</v>
      </c>
      <c r="K22" s="277">
        <f t="shared" si="6"/>
        <v>-878</v>
      </c>
      <c r="L22" s="277">
        <f t="shared" si="6"/>
        <v>-278</v>
      </c>
      <c r="M22" s="277">
        <f t="shared" si="6"/>
        <v>-50</v>
      </c>
      <c r="N22" s="277">
        <f t="shared" si="6"/>
        <v>-4900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8698-4131-E143-BA0A-080333911190}">
  <sheetPr codeName="Sheet21">
    <tabColor rgb="FFFFC000"/>
    <pageSetUpPr fitToPage="1"/>
  </sheetPr>
  <dimension ref="A1:N25"/>
  <sheetViews>
    <sheetView workbookViewId="0">
      <selection activeCell="I28" sqref="I28"/>
    </sheetView>
  </sheetViews>
  <sheetFormatPr defaultRowHeight="15.75" x14ac:dyDescent="0.25"/>
  <cols>
    <col min="1" max="1" width="46.125" bestFit="1" customWidth="1"/>
    <col min="2" max="2" width="6.5" bestFit="1" customWidth="1"/>
    <col min="3" max="5" width="7.375" bestFit="1" customWidth="1"/>
    <col min="6" max="6" width="8.125" bestFit="1" customWidth="1"/>
    <col min="7" max="8" width="8.125" customWidth="1"/>
    <col min="9" max="9" width="8.25" customWidth="1"/>
    <col min="10" max="10" width="7.875" customWidth="1"/>
    <col min="11" max="11" width="7.125" bestFit="1" customWidth="1"/>
    <col min="12" max="13" width="6.5" customWidth="1"/>
    <col min="14" max="14" width="8.1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355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M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>SUM(B8:M8)</f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341</v>
      </c>
      <c r="B11" s="230">
        <v>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0</v>
      </c>
    </row>
    <row r="12" spans="1:14" x14ac:dyDescent="0.25">
      <c r="A12" s="229" t="s">
        <v>337</v>
      </c>
      <c r="B12" s="230">
        <v>0</v>
      </c>
      <c r="C12" s="230">
        <v>500</v>
      </c>
      <c r="D12" s="230">
        <v>1500</v>
      </c>
      <c r="E12" s="230">
        <v>1500</v>
      </c>
      <c r="F12" s="230">
        <v>45000</v>
      </c>
      <c r="G12" s="230">
        <v>0</v>
      </c>
      <c r="H12" s="230">
        <v>0</v>
      </c>
      <c r="I12" s="230">
        <v>1500</v>
      </c>
      <c r="J12" s="230">
        <v>4000</v>
      </c>
      <c r="K12" s="230">
        <v>0</v>
      </c>
      <c r="L12" s="230">
        <v>0</v>
      </c>
      <c r="M12" s="230">
        <v>0</v>
      </c>
      <c r="N12" s="230">
        <f t="shared" ref="N12:N16" si="1">SUM(B12:M12)</f>
        <v>54000</v>
      </c>
    </row>
    <row r="13" spans="1:14" x14ac:dyDescent="0.25">
      <c r="A13" s="229" t="s">
        <v>25</v>
      </c>
      <c r="B13" s="230">
        <v>0</v>
      </c>
      <c r="C13" s="230">
        <v>0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f t="shared" si="1"/>
        <v>0</v>
      </c>
    </row>
    <row r="14" spans="1:14" x14ac:dyDescent="0.25">
      <c r="A14" s="229" t="s">
        <v>257</v>
      </c>
      <c r="B14" s="230">
        <v>0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f t="shared" si="1"/>
        <v>0</v>
      </c>
    </row>
    <row r="15" spans="1:14" x14ac:dyDescent="0.25">
      <c r="A15" s="229" t="s">
        <v>260</v>
      </c>
      <c r="B15" s="230">
        <v>0</v>
      </c>
      <c r="C15" s="230">
        <v>0</v>
      </c>
      <c r="D15" s="230">
        <v>100</v>
      </c>
      <c r="E15" s="230">
        <v>0</v>
      </c>
      <c r="F15" s="230">
        <v>0</v>
      </c>
      <c r="G15" s="230">
        <v>0</v>
      </c>
      <c r="H15" s="230">
        <v>50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 t="shared" si="1"/>
        <v>150</v>
      </c>
    </row>
    <row r="16" spans="1:14" x14ac:dyDescent="0.25">
      <c r="A16" s="229" t="s">
        <v>263</v>
      </c>
      <c r="B16" s="230">
        <v>3</v>
      </c>
      <c r="C16" s="230">
        <v>3</v>
      </c>
      <c r="D16" s="230">
        <v>3</v>
      </c>
      <c r="E16" s="230">
        <v>3</v>
      </c>
      <c r="F16" s="230">
        <v>3</v>
      </c>
      <c r="G16" s="230">
        <v>3</v>
      </c>
      <c r="H16" s="230">
        <v>3</v>
      </c>
      <c r="I16" s="230">
        <v>3</v>
      </c>
      <c r="J16" s="230">
        <v>3</v>
      </c>
      <c r="K16" s="230">
        <v>3</v>
      </c>
      <c r="L16" s="230">
        <v>3</v>
      </c>
      <c r="M16" s="230">
        <v>3</v>
      </c>
      <c r="N16" s="230">
        <f t="shared" si="1"/>
        <v>36</v>
      </c>
    </row>
    <row r="17" spans="1:14" x14ac:dyDescent="0.25">
      <c r="A17" s="281" t="s">
        <v>190</v>
      </c>
      <c r="B17" s="282">
        <f>SUM(B11:B16)</f>
        <v>3</v>
      </c>
      <c r="C17" s="282">
        <f t="shared" ref="C17:N17" si="2">SUM(C11:C16)</f>
        <v>503</v>
      </c>
      <c r="D17" s="282">
        <f t="shared" si="2"/>
        <v>1603</v>
      </c>
      <c r="E17" s="282">
        <f t="shared" si="2"/>
        <v>1503</v>
      </c>
      <c r="F17" s="282">
        <f t="shared" si="2"/>
        <v>45003</v>
      </c>
      <c r="G17" s="282">
        <f t="shared" si="2"/>
        <v>3</v>
      </c>
      <c r="H17" s="282">
        <f t="shared" si="2"/>
        <v>53</v>
      </c>
      <c r="I17" s="282">
        <f t="shared" si="2"/>
        <v>1503</v>
      </c>
      <c r="J17" s="282">
        <f t="shared" si="2"/>
        <v>4003</v>
      </c>
      <c r="K17" s="282">
        <f t="shared" si="2"/>
        <v>3</v>
      </c>
      <c r="L17" s="282">
        <f t="shared" si="2"/>
        <v>3</v>
      </c>
      <c r="M17" s="282">
        <f t="shared" si="2"/>
        <v>3</v>
      </c>
      <c r="N17" s="282">
        <f t="shared" si="2"/>
        <v>54186</v>
      </c>
    </row>
    <row r="18" spans="1:14" x14ac:dyDescent="0.25">
      <c r="A18" s="283" t="s">
        <v>191</v>
      </c>
      <c r="B18" s="282">
        <f t="shared" ref="B18:B19" si="3">SUM(B12)</f>
        <v>0</v>
      </c>
      <c r="C18" s="282">
        <f t="shared" ref="C18:N18" si="4">SUM(C17)</f>
        <v>503</v>
      </c>
      <c r="D18" s="282">
        <f t="shared" si="4"/>
        <v>1603</v>
      </c>
      <c r="E18" s="282">
        <f t="shared" si="4"/>
        <v>1503</v>
      </c>
      <c r="F18" s="282">
        <f t="shared" si="4"/>
        <v>45003</v>
      </c>
      <c r="G18" s="282">
        <f t="shared" si="4"/>
        <v>3</v>
      </c>
      <c r="H18" s="282">
        <f t="shared" si="4"/>
        <v>53</v>
      </c>
      <c r="I18" s="282">
        <f t="shared" si="4"/>
        <v>1503</v>
      </c>
      <c r="J18" s="282">
        <f t="shared" si="4"/>
        <v>4003</v>
      </c>
      <c r="K18" s="282">
        <f t="shared" si="4"/>
        <v>3</v>
      </c>
      <c r="L18" s="282">
        <f t="shared" si="4"/>
        <v>3</v>
      </c>
      <c r="M18" s="282">
        <f t="shared" si="4"/>
        <v>3</v>
      </c>
      <c r="N18" s="282">
        <f t="shared" si="4"/>
        <v>54186</v>
      </c>
    </row>
    <row r="19" spans="1:14" x14ac:dyDescent="0.25">
      <c r="A19" s="276" t="s">
        <v>192</v>
      </c>
      <c r="B19" s="282">
        <f t="shared" si="3"/>
        <v>0</v>
      </c>
      <c r="C19" s="277">
        <f t="shared" ref="C19:N19" si="5">C8-C18</f>
        <v>-503</v>
      </c>
      <c r="D19" s="277">
        <f t="shared" si="5"/>
        <v>-1603</v>
      </c>
      <c r="E19" s="277">
        <f t="shared" si="5"/>
        <v>-1503</v>
      </c>
      <c r="F19" s="277">
        <f t="shared" si="5"/>
        <v>-45003</v>
      </c>
      <c r="G19" s="277">
        <f t="shared" si="5"/>
        <v>-3</v>
      </c>
      <c r="H19" s="277">
        <f t="shared" si="5"/>
        <v>-53</v>
      </c>
      <c r="I19" s="277">
        <f t="shared" si="5"/>
        <v>-1503</v>
      </c>
      <c r="J19" s="277">
        <f t="shared" si="5"/>
        <v>-4003</v>
      </c>
      <c r="K19" s="277">
        <f t="shared" si="5"/>
        <v>-3</v>
      </c>
      <c r="L19" s="277">
        <f t="shared" si="5"/>
        <v>-3</v>
      </c>
      <c r="M19" s="277">
        <f t="shared" si="5"/>
        <v>-3</v>
      </c>
      <c r="N19" s="277">
        <f t="shared" si="5"/>
        <v>-54186</v>
      </c>
    </row>
    <row r="20" spans="1:14" x14ac:dyDescent="0.25">
      <c r="A20" s="278" t="s">
        <v>193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</row>
    <row r="21" spans="1:14" x14ac:dyDescent="0.25">
      <c r="A21" s="280" t="s">
        <v>196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</row>
    <row r="22" spans="1:14" x14ac:dyDescent="0.25">
      <c r="A22" s="229" t="s">
        <v>224</v>
      </c>
      <c r="B22" s="230">
        <v>0</v>
      </c>
      <c r="C22" s="230">
        <v>0</v>
      </c>
      <c r="D22" s="230">
        <v>1000</v>
      </c>
      <c r="E22" s="230">
        <v>2000</v>
      </c>
      <c r="F22" s="230">
        <v>35000</v>
      </c>
      <c r="G22" s="230">
        <v>0</v>
      </c>
      <c r="H22" s="230">
        <v>0</v>
      </c>
      <c r="I22" s="230">
        <v>2000</v>
      </c>
      <c r="J22" s="230">
        <v>1500</v>
      </c>
      <c r="K22" s="230">
        <v>3000</v>
      </c>
      <c r="L22" s="230">
        <v>0</v>
      </c>
      <c r="M22" s="230">
        <v>0</v>
      </c>
      <c r="N22" s="230">
        <f>SUM(B22:M22)</f>
        <v>44500</v>
      </c>
    </row>
    <row r="23" spans="1:14" x14ac:dyDescent="0.25">
      <c r="A23" s="281" t="s">
        <v>197</v>
      </c>
      <c r="B23" s="282">
        <f t="shared" ref="B23:B24" si="6">SUM(B22)</f>
        <v>0</v>
      </c>
      <c r="C23" s="282">
        <f t="shared" ref="C23:N24" si="7">SUM(C22)</f>
        <v>0</v>
      </c>
      <c r="D23" s="282">
        <f t="shared" si="7"/>
        <v>1000</v>
      </c>
      <c r="E23" s="282">
        <f t="shared" si="7"/>
        <v>2000</v>
      </c>
      <c r="F23" s="282">
        <f t="shared" si="7"/>
        <v>35000</v>
      </c>
      <c r="G23" s="282">
        <f t="shared" si="7"/>
        <v>0</v>
      </c>
      <c r="H23" s="282">
        <f t="shared" si="7"/>
        <v>0</v>
      </c>
      <c r="I23" s="282">
        <f t="shared" si="7"/>
        <v>2000</v>
      </c>
      <c r="J23" s="282">
        <f t="shared" si="7"/>
        <v>1500</v>
      </c>
      <c r="K23" s="282">
        <v>0</v>
      </c>
      <c r="L23" s="282">
        <f t="shared" si="7"/>
        <v>0</v>
      </c>
      <c r="M23" s="282">
        <f t="shared" si="7"/>
        <v>0</v>
      </c>
      <c r="N23" s="282">
        <f t="shared" si="7"/>
        <v>44500</v>
      </c>
    </row>
    <row r="24" spans="1:14" x14ac:dyDescent="0.25">
      <c r="A24" s="283" t="s">
        <v>200</v>
      </c>
      <c r="B24" s="282">
        <f t="shared" si="6"/>
        <v>0</v>
      </c>
      <c r="C24" s="282">
        <f t="shared" si="7"/>
        <v>0</v>
      </c>
      <c r="D24" s="282">
        <f t="shared" si="7"/>
        <v>1000</v>
      </c>
      <c r="E24" s="282">
        <f t="shared" si="7"/>
        <v>2000</v>
      </c>
      <c r="F24" s="282">
        <f t="shared" si="7"/>
        <v>35000</v>
      </c>
      <c r="G24" s="282">
        <f t="shared" si="7"/>
        <v>0</v>
      </c>
      <c r="H24" s="282">
        <f t="shared" si="7"/>
        <v>0</v>
      </c>
      <c r="I24" s="282">
        <f t="shared" si="7"/>
        <v>2000</v>
      </c>
      <c r="J24" s="282">
        <f t="shared" si="7"/>
        <v>1500</v>
      </c>
      <c r="K24" s="282">
        <f t="shared" si="7"/>
        <v>0</v>
      </c>
      <c r="L24" s="282">
        <f t="shared" si="7"/>
        <v>0</v>
      </c>
      <c r="M24" s="282">
        <f t="shared" si="7"/>
        <v>0</v>
      </c>
      <c r="N24" s="282">
        <f t="shared" si="7"/>
        <v>44500</v>
      </c>
    </row>
    <row r="25" spans="1:14" x14ac:dyDescent="0.25">
      <c r="A25" s="276" t="s">
        <v>29</v>
      </c>
      <c r="B25" s="277">
        <f t="shared" ref="B25:N25" si="8">B19+B24+0</f>
        <v>0</v>
      </c>
      <c r="C25" s="277">
        <f t="shared" si="8"/>
        <v>-503</v>
      </c>
      <c r="D25" s="277">
        <f t="shared" si="8"/>
        <v>-603</v>
      </c>
      <c r="E25" s="277">
        <f t="shared" si="8"/>
        <v>497</v>
      </c>
      <c r="F25" s="277">
        <f t="shared" si="8"/>
        <v>-10003</v>
      </c>
      <c r="G25" s="277">
        <f t="shared" si="8"/>
        <v>-3</v>
      </c>
      <c r="H25" s="277">
        <f t="shared" si="8"/>
        <v>-53</v>
      </c>
      <c r="I25" s="277">
        <f t="shared" si="8"/>
        <v>497</v>
      </c>
      <c r="J25" s="277">
        <f t="shared" si="8"/>
        <v>-2503</v>
      </c>
      <c r="K25" s="277">
        <f t="shared" si="8"/>
        <v>-3</v>
      </c>
      <c r="L25" s="277">
        <f t="shared" si="8"/>
        <v>-3</v>
      </c>
      <c r="M25" s="277">
        <f t="shared" si="8"/>
        <v>-3</v>
      </c>
      <c r="N25" s="277">
        <f t="shared" si="8"/>
        <v>-9686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51E5-3E39-A342-BB75-47290C55580E}">
  <sheetPr codeName="Sheet22">
    <tabColor rgb="FFFFC000"/>
    <pageSetUpPr fitToPage="1"/>
  </sheetPr>
  <dimension ref="A1:O25"/>
  <sheetViews>
    <sheetView topLeftCell="A6" workbookViewId="0">
      <selection activeCell="N13" sqref="N13"/>
    </sheetView>
  </sheetViews>
  <sheetFormatPr defaultColWidth="6.5" defaultRowHeight="15.75" x14ac:dyDescent="0.25"/>
  <cols>
    <col min="1" max="1" width="46.125" bestFit="1" customWidth="1"/>
    <col min="2" max="2" width="6.5" bestFit="1" customWidth="1"/>
    <col min="3" max="3" width="7.25" bestFit="1" customWidth="1"/>
    <col min="4" max="4" width="6.75" bestFit="1" customWidth="1"/>
    <col min="5" max="8" width="6.875" bestFit="1" customWidth="1"/>
    <col min="9" max="9" width="6.75" bestFit="1" customWidth="1"/>
    <col min="10" max="11" width="6.5" bestFit="1" customWidth="1"/>
    <col min="12" max="12" width="6.5" customWidth="1"/>
    <col min="13" max="13" width="6.5" bestFit="1" customWidth="1"/>
    <col min="14" max="14" width="7.25" bestFit="1" customWidth="1"/>
    <col min="15" max="15" width="30.75" customWidth="1"/>
  </cols>
  <sheetData>
    <row r="1" spans="1:15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5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5" ht="18" x14ac:dyDescent="0.25">
      <c r="A3" s="372" t="s">
        <v>356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5" ht="18" x14ac:dyDescent="0.25">
      <c r="A4" s="372" t="s">
        <v>357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5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5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5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5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5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5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5" x14ac:dyDescent="0.25">
      <c r="A11" s="229" t="s">
        <v>358</v>
      </c>
      <c r="B11" s="165">
        <v>0</v>
      </c>
      <c r="C11" s="165">
        <v>227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f>SUM(B11:M11)</f>
        <v>227</v>
      </c>
    </row>
    <row r="12" spans="1:15" x14ac:dyDescent="0.25">
      <c r="A12" s="164" t="s">
        <v>335</v>
      </c>
      <c r="B12" s="165">
        <v>0</v>
      </c>
      <c r="C12" s="165">
        <v>320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ref="N12:N25" si="1">SUM(B12:M12)</f>
        <v>320</v>
      </c>
    </row>
    <row r="13" spans="1:15" x14ac:dyDescent="0.25">
      <c r="A13" s="164" t="s">
        <v>336</v>
      </c>
      <c r="B13" s="165">
        <v>0</v>
      </c>
      <c r="C13" s="165">
        <v>0</v>
      </c>
      <c r="D13" s="165">
        <v>740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f t="shared" si="1"/>
        <v>740</v>
      </c>
    </row>
    <row r="14" spans="1:15" x14ac:dyDescent="0.25">
      <c r="A14" s="164" t="s">
        <v>337</v>
      </c>
      <c r="B14" s="165">
        <v>0</v>
      </c>
      <c r="C14" s="165">
        <v>74</v>
      </c>
      <c r="D14" s="165">
        <v>74</v>
      </c>
      <c r="E14" s="165">
        <v>74</v>
      </c>
      <c r="F14" s="165">
        <v>74</v>
      </c>
      <c r="G14" s="165">
        <v>74</v>
      </c>
      <c r="H14" s="165">
        <v>74</v>
      </c>
      <c r="I14" s="165">
        <v>74</v>
      </c>
      <c r="J14" s="165">
        <v>74</v>
      </c>
      <c r="K14" s="165">
        <v>74</v>
      </c>
      <c r="L14" s="165">
        <v>74</v>
      </c>
      <c r="M14" s="165">
        <v>0</v>
      </c>
      <c r="N14" s="165">
        <f t="shared" si="1"/>
        <v>740</v>
      </c>
      <c r="O14" s="184"/>
    </row>
    <row r="15" spans="1:15" x14ac:dyDescent="0.25">
      <c r="A15" s="229" t="s">
        <v>25</v>
      </c>
      <c r="B15" s="165">
        <v>0</v>
      </c>
      <c r="C15" s="165">
        <v>11</v>
      </c>
      <c r="D15" s="165">
        <v>11</v>
      </c>
      <c r="E15" s="165">
        <v>11</v>
      </c>
      <c r="F15" s="165">
        <v>11</v>
      </c>
      <c r="G15" s="165">
        <v>11</v>
      </c>
      <c r="H15" s="165">
        <v>11</v>
      </c>
      <c r="I15" s="165">
        <v>11</v>
      </c>
      <c r="J15" s="165">
        <v>11</v>
      </c>
      <c r="K15" s="165">
        <v>11</v>
      </c>
      <c r="L15" s="165">
        <v>11</v>
      </c>
      <c r="M15" s="165">
        <v>0</v>
      </c>
      <c r="N15" s="165">
        <f t="shared" si="1"/>
        <v>110</v>
      </c>
      <c r="O15" s="184"/>
    </row>
    <row r="16" spans="1:15" x14ac:dyDescent="0.25">
      <c r="A16" s="164" t="s">
        <v>257</v>
      </c>
      <c r="B16" s="165">
        <v>4.5</v>
      </c>
      <c r="C16" s="165">
        <v>4.5</v>
      </c>
      <c r="D16" s="165">
        <v>4.5</v>
      </c>
      <c r="E16" s="165">
        <v>4.5</v>
      </c>
      <c r="F16" s="165">
        <v>4.5</v>
      </c>
      <c r="G16" s="165">
        <v>4.5</v>
      </c>
      <c r="H16" s="165">
        <v>4.5</v>
      </c>
      <c r="I16" s="165">
        <v>4.5</v>
      </c>
      <c r="J16" s="165">
        <v>4.5</v>
      </c>
      <c r="K16" s="165">
        <v>4.5</v>
      </c>
      <c r="L16" s="165">
        <v>4.5</v>
      </c>
      <c r="M16" s="165">
        <v>4.5</v>
      </c>
      <c r="N16" s="165">
        <f t="shared" si="1"/>
        <v>54</v>
      </c>
    </row>
    <row r="17" spans="1:15" x14ac:dyDescent="0.25">
      <c r="A17" s="229" t="s">
        <v>258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28</v>
      </c>
      <c r="K17" s="165">
        <v>28</v>
      </c>
      <c r="L17" s="165">
        <v>28</v>
      </c>
      <c r="M17" s="165">
        <v>0</v>
      </c>
      <c r="N17" s="165">
        <f t="shared" si="1"/>
        <v>84</v>
      </c>
      <c r="O17" s="184"/>
    </row>
    <row r="18" spans="1:15" x14ac:dyDescent="0.25">
      <c r="A18" s="229" t="s">
        <v>319</v>
      </c>
      <c r="B18" s="165">
        <v>0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f t="shared" si="1"/>
        <v>0</v>
      </c>
      <c r="O18" s="184"/>
    </row>
    <row r="19" spans="1:15" x14ac:dyDescent="0.25">
      <c r="A19" s="164" t="s">
        <v>260</v>
      </c>
      <c r="B19" s="165">
        <v>35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f t="shared" si="1"/>
        <v>35</v>
      </c>
    </row>
    <row r="20" spans="1:15" x14ac:dyDescent="0.25">
      <c r="A20" s="272" t="s">
        <v>263</v>
      </c>
      <c r="B20" s="232">
        <v>6</v>
      </c>
      <c r="C20" s="232">
        <v>6</v>
      </c>
      <c r="D20" s="232">
        <v>6</v>
      </c>
      <c r="E20" s="232">
        <v>6</v>
      </c>
      <c r="F20" s="232">
        <v>6</v>
      </c>
      <c r="G20" s="232">
        <v>6</v>
      </c>
      <c r="H20" s="232">
        <v>6</v>
      </c>
      <c r="I20" s="232">
        <v>6</v>
      </c>
      <c r="J20" s="232">
        <v>6</v>
      </c>
      <c r="K20" s="232">
        <v>6</v>
      </c>
      <c r="L20" s="232">
        <v>6</v>
      </c>
      <c r="M20" s="232">
        <v>6</v>
      </c>
      <c r="N20" s="232">
        <f t="shared" si="1"/>
        <v>72</v>
      </c>
      <c r="O20" s="184"/>
    </row>
    <row r="21" spans="1:15" x14ac:dyDescent="0.25">
      <c r="A21" s="164" t="s">
        <v>320</v>
      </c>
      <c r="B21" s="165">
        <v>135</v>
      </c>
      <c r="C21" s="165">
        <v>135</v>
      </c>
      <c r="D21" s="165">
        <v>135</v>
      </c>
      <c r="E21" s="165">
        <v>135</v>
      </c>
      <c r="F21" s="165">
        <v>135</v>
      </c>
      <c r="G21" s="165">
        <v>135</v>
      </c>
      <c r="H21" s="165">
        <v>135</v>
      </c>
      <c r="I21" s="165">
        <v>135</v>
      </c>
      <c r="J21" s="165">
        <v>135</v>
      </c>
      <c r="K21" s="165">
        <v>135</v>
      </c>
      <c r="L21" s="165">
        <v>0</v>
      </c>
      <c r="M21" s="165">
        <v>0</v>
      </c>
      <c r="N21" s="165">
        <f t="shared" si="1"/>
        <v>1350</v>
      </c>
      <c r="O21" s="184"/>
    </row>
    <row r="22" spans="1:15" x14ac:dyDescent="0.25">
      <c r="A22" s="166" t="s">
        <v>190</v>
      </c>
      <c r="B22" s="167">
        <f t="shared" ref="B22:M22" si="2">SUM(B11:B21)</f>
        <v>180.5</v>
      </c>
      <c r="C22" s="167">
        <f t="shared" si="2"/>
        <v>777.5</v>
      </c>
      <c r="D22" s="167">
        <f t="shared" si="2"/>
        <v>970.5</v>
      </c>
      <c r="E22" s="167">
        <f t="shared" si="2"/>
        <v>230.5</v>
      </c>
      <c r="F22" s="167">
        <f t="shared" si="2"/>
        <v>230.5</v>
      </c>
      <c r="G22" s="167">
        <f t="shared" si="2"/>
        <v>230.5</v>
      </c>
      <c r="H22" s="167">
        <f t="shared" si="2"/>
        <v>230.5</v>
      </c>
      <c r="I22" s="167">
        <f t="shared" si="2"/>
        <v>230.5</v>
      </c>
      <c r="J22" s="167">
        <f t="shared" si="2"/>
        <v>258.5</v>
      </c>
      <c r="K22" s="167">
        <f t="shared" si="2"/>
        <v>258.5</v>
      </c>
      <c r="L22" s="167">
        <f t="shared" si="2"/>
        <v>123.5</v>
      </c>
      <c r="M22" s="167">
        <f t="shared" si="2"/>
        <v>10.5</v>
      </c>
      <c r="N22" s="162">
        <f t="shared" si="1"/>
        <v>3732</v>
      </c>
    </row>
    <row r="23" spans="1:15" x14ac:dyDescent="0.25">
      <c r="A23" s="168" t="s">
        <v>191</v>
      </c>
      <c r="B23" s="167">
        <f t="shared" ref="B23:N23" si="3">SUM(B22)</f>
        <v>180.5</v>
      </c>
      <c r="C23" s="167">
        <f t="shared" si="3"/>
        <v>777.5</v>
      </c>
      <c r="D23" s="167">
        <f t="shared" si="3"/>
        <v>970.5</v>
      </c>
      <c r="E23" s="167">
        <f t="shared" si="3"/>
        <v>230.5</v>
      </c>
      <c r="F23" s="167">
        <f t="shared" si="3"/>
        <v>230.5</v>
      </c>
      <c r="G23" s="167">
        <f t="shared" si="3"/>
        <v>230.5</v>
      </c>
      <c r="H23" s="167">
        <f t="shared" si="3"/>
        <v>230.5</v>
      </c>
      <c r="I23" s="167">
        <f t="shared" si="3"/>
        <v>230.5</v>
      </c>
      <c r="J23" s="167">
        <f t="shared" si="3"/>
        <v>258.5</v>
      </c>
      <c r="K23" s="167">
        <f t="shared" si="3"/>
        <v>258.5</v>
      </c>
      <c r="L23" s="167">
        <f t="shared" si="3"/>
        <v>123.5</v>
      </c>
      <c r="M23" s="167">
        <f t="shared" si="3"/>
        <v>10.5</v>
      </c>
      <c r="N23" s="167">
        <f t="shared" si="3"/>
        <v>3732</v>
      </c>
    </row>
    <row r="24" spans="1:15" x14ac:dyDescent="0.25">
      <c r="A24" s="159" t="s">
        <v>192</v>
      </c>
      <c r="B24" s="160">
        <f t="shared" ref="B24:M24" si="4">B8-B23</f>
        <v>-180.5</v>
      </c>
      <c r="C24" s="160">
        <f t="shared" si="4"/>
        <v>-777.5</v>
      </c>
      <c r="D24" s="160">
        <f t="shared" si="4"/>
        <v>-970.5</v>
      </c>
      <c r="E24" s="160">
        <f t="shared" si="4"/>
        <v>-230.5</v>
      </c>
      <c r="F24" s="160">
        <f t="shared" si="4"/>
        <v>-230.5</v>
      </c>
      <c r="G24" s="160">
        <f t="shared" si="4"/>
        <v>-230.5</v>
      </c>
      <c r="H24" s="160">
        <f t="shared" si="4"/>
        <v>-230.5</v>
      </c>
      <c r="I24" s="160">
        <f t="shared" si="4"/>
        <v>-230.5</v>
      </c>
      <c r="J24" s="160">
        <f t="shared" si="4"/>
        <v>-258.5</v>
      </c>
      <c r="K24" s="160">
        <f t="shared" si="4"/>
        <v>-258.5</v>
      </c>
      <c r="L24" s="160">
        <f t="shared" si="4"/>
        <v>-123.5</v>
      </c>
      <c r="M24" s="160">
        <f t="shared" si="4"/>
        <v>-10.5</v>
      </c>
      <c r="N24" s="162">
        <f t="shared" si="1"/>
        <v>-3732</v>
      </c>
    </row>
    <row r="25" spans="1:15" x14ac:dyDescent="0.25">
      <c r="A25" s="159" t="s">
        <v>29</v>
      </c>
      <c r="B25" s="160">
        <f t="shared" ref="B25:M25" si="5">B24+0+0</f>
        <v>-180.5</v>
      </c>
      <c r="C25" s="160">
        <f t="shared" si="5"/>
        <v>-777.5</v>
      </c>
      <c r="D25" s="160">
        <f t="shared" si="5"/>
        <v>-970.5</v>
      </c>
      <c r="E25" s="160">
        <f t="shared" si="5"/>
        <v>-230.5</v>
      </c>
      <c r="F25" s="160">
        <f t="shared" si="5"/>
        <v>-230.5</v>
      </c>
      <c r="G25" s="160">
        <f t="shared" si="5"/>
        <v>-230.5</v>
      </c>
      <c r="H25" s="160">
        <f t="shared" si="5"/>
        <v>-230.5</v>
      </c>
      <c r="I25" s="160">
        <f t="shared" si="5"/>
        <v>-230.5</v>
      </c>
      <c r="J25" s="160">
        <f t="shared" si="5"/>
        <v>-258.5</v>
      </c>
      <c r="K25" s="160">
        <f t="shared" si="5"/>
        <v>-258.5</v>
      </c>
      <c r="L25" s="160">
        <f t="shared" si="5"/>
        <v>-123.5</v>
      </c>
      <c r="M25" s="160">
        <f t="shared" si="5"/>
        <v>-10.5</v>
      </c>
      <c r="N25" s="162">
        <f t="shared" si="1"/>
        <v>-3732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1301-E5F6-CA42-AF33-F4E8FC9DDDDE}">
  <sheetPr codeName="Sheet23">
    <tabColor rgb="FFFFC000"/>
    <pageSetUpPr fitToPage="1"/>
  </sheetPr>
  <dimension ref="A1:N28"/>
  <sheetViews>
    <sheetView zoomScaleNormal="100" workbookViewId="0">
      <selection activeCell="N26" sqref="N26"/>
    </sheetView>
  </sheetViews>
  <sheetFormatPr defaultRowHeight="15.75" x14ac:dyDescent="0.25"/>
  <cols>
    <col min="1" max="1" width="46.125" bestFit="1" customWidth="1"/>
    <col min="2" max="2" width="6.5" bestFit="1" customWidth="1"/>
    <col min="3" max="3" width="7.125" bestFit="1" customWidth="1"/>
    <col min="4" max="4" width="6.75" bestFit="1" customWidth="1"/>
    <col min="5" max="5" width="8.125" bestFit="1" customWidth="1"/>
    <col min="6" max="6" width="6.875" bestFit="1" customWidth="1"/>
    <col min="7" max="7" width="6.5" bestFit="1" customWidth="1"/>
    <col min="8" max="8" width="6.25" bestFit="1" customWidth="1"/>
    <col min="9" max="9" width="7.375" bestFit="1" customWidth="1"/>
    <col min="10" max="10" width="6.625" bestFit="1" customWidth="1"/>
    <col min="11" max="11" width="7.375" bestFit="1" customWidth="1"/>
    <col min="12" max="12" width="6.875" bestFit="1" customWidth="1"/>
    <col min="13" max="13" width="6.875" customWidth="1"/>
    <col min="14" max="14" width="8.12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359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340</v>
      </c>
      <c r="B11" s="230">
        <v>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1000</v>
      </c>
      <c r="L11" s="230">
        <v>0</v>
      </c>
      <c r="M11" s="230">
        <v>0</v>
      </c>
      <c r="N11" s="230">
        <f>SUM(B11:M11)</f>
        <v>1000</v>
      </c>
    </row>
    <row r="12" spans="1:14" x14ac:dyDescent="0.25">
      <c r="A12" s="229" t="s">
        <v>335</v>
      </c>
      <c r="B12" s="230">
        <v>0</v>
      </c>
      <c r="C12" s="230">
        <v>200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f>SUM(B12:M12)</f>
        <v>200</v>
      </c>
    </row>
    <row r="13" spans="1:14" x14ac:dyDescent="0.25">
      <c r="A13" s="229" t="s">
        <v>323</v>
      </c>
      <c r="B13" s="230">
        <v>0</v>
      </c>
      <c r="C13" s="230">
        <v>1400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1400</v>
      </c>
      <c r="J13" s="230">
        <v>0</v>
      </c>
      <c r="K13" s="230">
        <v>0</v>
      </c>
      <c r="L13" s="230">
        <v>0</v>
      </c>
      <c r="M13" s="230">
        <v>0</v>
      </c>
      <c r="N13" s="230">
        <f t="shared" ref="N13:N19" si="1">SUM(B13:M13)</f>
        <v>2800</v>
      </c>
    </row>
    <row r="14" spans="1:14" x14ac:dyDescent="0.25">
      <c r="A14" s="229" t="s">
        <v>336</v>
      </c>
      <c r="B14" s="230">
        <v>0</v>
      </c>
      <c r="C14" s="230">
        <v>0</v>
      </c>
      <c r="D14" s="230">
        <v>750</v>
      </c>
      <c r="E14" s="230">
        <v>935</v>
      </c>
      <c r="F14" s="230">
        <v>750</v>
      </c>
      <c r="G14" s="230">
        <v>0</v>
      </c>
      <c r="H14" s="230">
        <v>750</v>
      </c>
      <c r="I14" s="230">
        <v>935</v>
      </c>
      <c r="J14" s="230">
        <v>750</v>
      </c>
      <c r="K14" s="230">
        <v>0</v>
      </c>
      <c r="L14" s="230">
        <v>0</v>
      </c>
      <c r="M14" s="230">
        <v>0</v>
      </c>
      <c r="N14" s="230">
        <f t="shared" si="1"/>
        <v>4870</v>
      </c>
    </row>
    <row r="15" spans="1:14" x14ac:dyDescent="0.25">
      <c r="A15" s="229" t="s">
        <v>337</v>
      </c>
      <c r="B15" s="230">
        <v>0</v>
      </c>
      <c r="C15" s="230">
        <v>200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f t="shared" si="1"/>
        <v>200</v>
      </c>
    </row>
    <row r="16" spans="1:14" x14ac:dyDescent="0.25">
      <c r="A16" s="229" t="s">
        <v>329</v>
      </c>
      <c r="B16" s="230">
        <v>0</v>
      </c>
      <c r="C16" s="230">
        <v>0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f t="shared" si="1"/>
        <v>0</v>
      </c>
    </row>
    <row r="17" spans="1:14" x14ac:dyDescent="0.25">
      <c r="A17" s="229" t="s">
        <v>260</v>
      </c>
      <c r="B17" s="230">
        <v>0</v>
      </c>
      <c r="C17" s="230">
        <v>200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 t="shared" si="1"/>
        <v>200</v>
      </c>
    </row>
    <row r="18" spans="1:14" x14ac:dyDescent="0.25">
      <c r="A18" s="229" t="s">
        <v>347</v>
      </c>
      <c r="B18" s="230">
        <v>0</v>
      </c>
      <c r="C18" s="230">
        <v>0</v>
      </c>
      <c r="D18" s="230">
        <v>0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f t="shared" si="1"/>
        <v>0</v>
      </c>
    </row>
    <row r="19" spans="1:14" x14ac:dyDescent="0.25">
      <c r="A19" s="229" t="s">
        <v>263</v>
      </c>
      <c r="B19" s="230">
        <v>11</v>
      </c>
      <c r="C19" s="230">
        <v>11</v>
      </c>
      <c r="D19" s="230">
        <v>11</v>
      </c>
      <c r="E19" s="230">
        <v>11</v>
      </c>
      <c r="F19" s="230">
        <v>11</v>
      </c>
      <c r="G19" s="230">
        <v>11</v>
      </c>
      <c r="H19" s="230">
        <v>11</v>
      </c>
      <c r="I19" s="230">
        <v>11</v>
      </c>
      <c r="J19" s="230">
        <v>11</v>
      </c>
      <c r="K19" s="230">
        <v>11</v>
      </c>
      <c r="L19" s="230">
        <v>11</v>
      </c>
      <c r="M19" s="230">
        <v>11</v>
      </c>
      <c r="N19" s="230">
        <f t="shared" si="1"/>
        <v>132</v>
      </c>
    </row>
    <row r="20" spans="1:14" x14ac:dyDescent="0.25">
      <c r="A20" s="281" t="s">
        <v>190</v>
      </c>
      <c r="B20" s="282">
        <f>SUM(B11:B19)</f>
        <v>11</v>
      </c>
      <c r="C20" s="282">
        <f t="shared" ref="C20:N20" si="2">SUM(C11:C19)</f>
        <v>2011</v>
      </c>
      <c r="D20" s="282">
        <f t="shared" si="2"/>
        <v>761</v>
      </c>
      <c r="E20" s="282">
        <f t="shared" si="2"/>
        <v>946</v>
      </c>
      <c r="F20" s="282">
        <f t="shared" si="2"/>
        <v>761</v>
      </c>
      <c r="G20" s="282">
        <f t="shared" si="2"/>
        <v>11</v>
      </c>
      <c r="H20" s="282">
        <f t="shared" si="2"/>
        <v>761</v>
      </c>
      <c r="I20" s="282">
        <f t="shared" si="2"/>
        <v>2346</v>
      </c>
      <c r="J20" s="282">
        <f t="shared" si="2"/>
        <v>761</v>
      </c>
      <c r="K20" s="282">
        <f t="shared" si="2"/>
        <v>1011</v>
      </c>
      <c r="L20" s="282">
        <f t="shared" si="2"/>
        <v>11</v>
      </c>
      <c r="M20" s="282">
        <f t="shared" si="2"/>
        <v>11</v>
      </c>
      <c r="N20" s="282">
        <f t="shared" si="2"/>
        <v>9402</v>
      </c>
    </row>
    <row r="21" spans="1:14" x14ac:dyDescent="0.25">
      <c r="A21" s="283" t="s">
        <v>191</v>
      </c>
      <c r="B21" s="282">
        <f t="shared" ref="B21" si="3">SUM(B20)</f>
        <v>11</v>
      </c>
      <c r="C21" s="282">
        <f t="shared" ref="C21:N21" si="4">SUM(C20)</f>
        <v>2011</v>
      </c>
      <c r="D21" s="282">
        <f t="shared" si="4"/>
        <v>761</v>
      </c>
      <c r="E21" s="282">
        <f t="shared" si="4"/>
        <v>946</v>
      </c>
      <c r="F21" s="282">
        <f t="shared" si="4"/>
        <v>761</v>
      </c>
      <c r="G21" s="282">
        <f t="shared" si="4"/>
        <v>11</v>
      </c>
      <c r="H21" s="282">
        <f t="shared" si="4"/>
        <v>761</v>
      </c>
      <c r="I21" s="282">
        <f t="shared" si="4"/>
        <v>2346</v>
      </c>
      <c r="J21" s="282">
        <f t="shared" si="4"/>
        <v>761</v>
      </c>
      <c r="K21" s="282">
        <f t="shared" si="4"/>
        <v>1011</v>
      </c>
      <c r="L21" s="282">
        <f t="shared" si="4"/>
        <v>11</v>
      </c>
      <c r="M21" s="282">
        <f t="shared" si="4"/>
        <v>11</v>
      </c>
      <c r="N21" s="282">
        <f t="shared" si="4"/>
        <v>9402</v>
      </c>
    </row>
    <row r="22" spans="1:14" x14ac:dyDescent="0.25">
      <c r="A22" s="276" t="s">
        <v>192</v>
      </c>
      <c r="B22" s="277">
        <f>B8-B21</f>
        <v>-11</v>
      </c>
      <c r="C22" s="277">
        <f t="shared" ref="C22:N22" si="5">C8-C21</f>
        <v>-2011</v>
      </c>
      <c r="D22" s="277">
        <f t="shared" si="5"/>
        <v>-761</v>
      </c>
      <c r="E22" s="277">
        <f t="shared" si="5"/>
        <v>-946</v>
      </c>
      <c r="F22" s="277">
        <f t="shared" si="5"/>
        <v>-761</v>
      </c>
      <c r="G22" s="277">
        <f t="shared" si="5"/>
        <v>-11</v>
      </c>
      <c r="H22" s="277">
        <f t="shared" si="5"/>
        <v>-761</v>
      </c>
      <c r="I22" s="277">
        <f t="shared" si="5"/>
        <v>-2346</v>
      </c>
      <c r="J22" s="277">
        <f t="shared" si="5"/>
        <v>-761</v>
      </c>
      <c r="K22" s="277">
        <f t="shared" si="5"/>
        <v>-1011</v>
      </c>
      <c r="L22" s="277">
        <f t="shared" si="5"/>
        <v>-11</v>
      </c>
      <c r="M22" s="277">
        <f t="shared" si="5"/>
        <v>-11</v>
      </c>
      <c r="N22" s="277">
        <f t="shared" si="5"/>
        <v>-9402</v>
      </c>
    </row>
    <row r="23" spans="1:14" x14ac:dyDescent="0.25">
      <c r="A23" s="278" t="s">
        <v>193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</row>
    <row r="24" spans="1:14" x14ac:dyDescent="0.25">
      <c r="A24" s="280" t="s">
        <v>196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</row>
    <row r="25" spans="1:14" x14ac:dyDescent="0.25">
      <c r="A25" s="229" t="s">
        <v>224</v>
      </c>
      <c r="B25" s="230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f t="shared" ref="N25" si="6">SUM(B25:M25)</f>
        <v>0</v>
      </c>
    </row>
    <row r="26" spans="1:14" x14ac:dyDescent="0.25">
      <c r="A26" s="281" t="s">
        <v>197</v>
      </c>
      <c r="B26" s="282">
        <f t="shared" ref="B26:N27" si="7">SUM(B25)</f>
        <v>0</v>
      </c>
      <c r="C26" s="282">
        <f t="shared" si="7"/>
        <v>0</v>
      </c>
      <c r="D26" s="282">
        <f t="shared" si="7"/>
        <v>0</v>
      </c>
      <c r="E26" s="282">
        <f t="shared" si="7"/>
        <v>0</v>
      </c>
      <c r="F26" s="282">
        <f t="shared" si="7"/>
        <v>0</v>
      </c>
      <c r="G26" s="282">
        <f t="shared" si="7"/>
        <v>0</v>
      </c>
      <c r="H26" s="282">
        <f t="shared" si="7"/>
        <v>0</v>
      </c>
      <c r="I26" s="282">
        <f t="shared" si="7"/>
        <v>0</v>
      </c>
      <c r="J26" s="282">
        <f t="shared" si="7"/>
        <v>0</v>
      </c>
      <c r="K26" s="282">
        <f t="shared" si="7"/>
        <v>0</v>
      </c>
      <c r="L26" s="282">
        <f t="shared" si="7"/>
        <v>0</v>
      </c>
      <c r="M26" s="282">
        <f t="shared" si="7"/>
        <v>0</v>
      </c>
      <c r="N26" s="282">
        <f t="shared" si="7"/>
        <v>0</v>
      </c>
    </row>
    <row r="27" spans="1:14" x14ac:dyDescent="0.25">
      <c r="A27" s="283" t="s">
        <v>200</v>
      </c>
      <c r="B27" s="282">
        <f t="shared" si="7"/>
        <v>0</v>
      </c>
      <c r="C27" s="282">
        <f t="shared" si="7"/>
        <v>0</v>
      </c>
      <c r="D27" s="282">
        <f t="shared" si="7"/>
        <v>0</v>
      </c>
      <c r="E27" s="282">
        <f t="shared" si="7"/>
        <v>0</v>
      </c>
      <c r="F27" s="282">
        <f t="shared" si="7"/>
        <v>0</v>
      </c>
      <c r="G27" s="282">
        <f t="shared" si="7"/>
        <v>0</v>
      </c>
      <c r="H27" s="282">
        <f t="shared" si="7"/>
        <v>0</v>
      </c>
      <c r="I27" s="282">
        <f t="shared" si="7"/>
        <v>0</v>
      </c>
      <c r="J27" s="282">
        <f t="shared" si="7"/>
        <v>0</v>
      </c>
      <c r="K27" s="282">
        <f t="shared" si="7"/>
        <v>0</v>
      </c>
      <c r="L27" s="282">
        <f t="shared" si="7"/>
        <v>0</v>
      </c>
      <c r="M27" s="282">
        <f t="shared" si="7"/>
        <v>0</v>
      </c>
      <c r="N27" s="282">
        <f t="shared" si="7"/>
        <v>0</v>
      </c>
    </row>
    <row r="28" spans="1:14" x14ac:dyDescent="0.25">
      <c r="A28" s="276" t="s">
        <v>29</v>
      </c>
      <c r="B28" s="277">
        <f t="shared" ref="B28:N28" si="8">B22+B27+0</f>
        <v>-11</v>
      </c>
      <c r="C28" s="277">
        <f t="shared" si="8"/>
        <v>-2011</v>
      </c>
      <c r="D28" s="277">
        <f t="shared" si="8"/>
        <v>-761</v>
      </c>
      <c r="E28" s="277">
        <f t="shared" si="8"/>
        <v>-946</v>
      </c>
      <c r="F28" s="277">
        <f t="shared" si="8"/>
        <v>-761</v>
      </c>
      <c r="G28" s="277">
        <f t="shared" si="8"/>
        <v>-11</v>
      </c>
      <c r="H28" s="277">
        <f t="shared" si="8"/>
        <v>-761</v>
      </c>
      <c r="I28" s="277">
        <f t="shared" si="8"/>
        <v>-2346</v>
      </c>
      <c r="J28" s="277">
        <f t="shared" si="8"/>
        <v>-761</v>
      </c>
      <c r="K28" s="277">
        <f t="shared" si="8"/>
        <v>-1011</v>
      </c>
      <c r="L28" s="277">
        <f t="shared" si="8"/>
        <v>-11</v>
      </c>
      <c r="M28" s="277">
        <f t="shared" si="8"/>
        <v>-11</v>
      </c>
      <c r="N28" s="277">
        <f t="shared" si="8"/>
        <v>-9402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828F-D472-6C4A-83FE-35DCA963B704}">
  <sheetPr codeName="Sheet24">
    <tabColor rgb="FFFFC000"/>
    <pageSetUpPr fitToPage="1"/>
  </sheetPr>
  <dimension ref="A1:N29"/>
  <sheetViews>
    <sheetView zoomScaleNormal="100" workbookViewId="0">
      <selection activeCell="G20" sqref="G20"/>
    </sheetView>
  </sheetViews>
  <sheetFormatPr defaultRowHeight="15.75" x14ac:dyDescent="0.25"/>
  <cols>
    <col min="1" max="1" width="46.125" bestFit="1" customWidth="1"/>
    <col min="2" max="2" width="6.5" bestFit="1" customWidth="1"/>
    <col min="3" max="3" width="7.375" bestFit="1" customWidth="1"/>
    <col min="4" max="4" width="8.125" bestFit="1" customWidth="1"/>
    <col min="5" max="5" width="8.375" customWidth="1"/>
    <col min="6" max="6" width="6.875" bestFit="1" customWidth="1"/>
    <col min="7" max="7" width="7.375" bestFit="1" customWidth="1"/>
    <col min="8" max="8" width="8.625" bestFit="1" customWidth="1"/>
    <col min="9" max="9" width="7.375" bestFit="1" customWidth="1"/>
    <col min="10" max="10" width="9.25" customWidth="1"/>
    <col min="11" max="11" width="8.625" customWidth="1"/>
    <col min="12" max="12" width="8.125" bestFit="1" customWidth="1"/>
    <col min="13" max="13" width="6.75" bestFit="1" customWidth="1"/>
    <col min="14" max="14" width="8.87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360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103</v>
      </c>
      <c r="B11" s="230">
        <v>0</v>
      </c>
      <c r="C11" s="230">
        <v>0</v>
      </c>
      <c r="D11" s="230">
        <v>10000</v>
      </c>
      <c r="E11" s="230">
        <v>10000</v>
      </c>
      <c r="F11" s="230">
        <v>0</v>
      </c>
      <c r="G11" s="230">
        <v>0</v>
      </c>
      <c r="H11" s="230">
        <v>45000</v>
      </c>
      <c r="I11" s="230">
        <v>0</v>
      </c>
      <c r="J11" s="230">
        <v>10000</v>
      </c>
      <c r="K11" s="230">
        <v>65000</v>
      </c>
      <c r="L11" s="230">
        <v>0</v>
      </c>
      <c r="M11" s="230">
        <v>0</v>
      </c>
      <c r="N11" s="230">
        <f t="shared" ref="N11:N20" si="1">SUM(B11:M11)</f>
        <v>140000</v>
      </c>
    </row>
    <row r="12" spans="1:14" x14ac:dyDescent="0.25">
      <c r="A12" s="229" t="s">
        <v>340</v>
      </c>
      <c r="B12" s="230">
        <v>0</v>
      </c>
      <c r="C12" s="230">
        <v>0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3000</v>
      </c>
      <c r="L12" s="230">
        <v>0</v>
      </c>
      <c r="M12" s="230">
        <v>0</v>
      </c>
      <c r="N12" s="230">
        <f t="shared" si="1"/>
        <v>3000</v>
      </c>
    </row>
    <row r="13" spans="1:14" x14ac:dyDescent="0.25">
      <c r="A13" s="229" t="s">
        <v>341</v>
      </c>
      <c r="B13" s="230">
        <v>0</v>
      </c>
      <c r="C13" s="230">
        <v>250</v>
      </c>
      <c r="D13" s="230">
        <v>250</v>
      </c>
      <c r="E13" s="230">
        <v>250</v>
      </c>
      <c r="F13" s="230">
        <v>250</v>
      </c>
      <c r="G13" s="230">
        <v>250</v>
      </c>
      <c r="H13" s="230">
        <v>250</v>
      </c>
      <c r="I13" s="230">
        <v>250</v>
      </c>
      <c r="J13" s="230">
        <v>250</v>
      </c>
      <c r="K13" s="230">
        <v>250</v>
      </c>
      <c r="L13" s="230">
        <v>250</v>
      </c>
      <c r="M13" s="230">
        <v>0</v>
      </c>
      <c r="N13" s="230">
        <f t="shared" si="1"/>
        <v>2500</v>
      </c>
    </row>
    <row r="14" spans="1:14" x14ac:dyDescent="0.25">
      <c r="A14" s="272" t="s">
        <v>24</v>
      </c>
      <c r="B14" s="284">
        <v>180</v>
      </c>
      <c r="C14" s="284">
        <v>180</v>
      </c>
      <c r="D14" s="284">
        <v>180</v>
      </c>
      <c r="E14" s="284">
        <v>180</v>
      </c>
      <c r="F14" s="284">
        <v>180</v>
      </c>
      <c r="G14" s="284">
        <v>180</v>
      </c>
      <c r="H14" s="284">
        <v>180</v>
      </c>
      <c r="I14" s="284">
        <v>180</v>
      </c>
      <c r="J14" s="284">
        <v>180</v>
      </c>
      <c r="K14" s="284">
        <v>180</v>
      </c>
      <c r="L14" s="284">
        <v>180</v>
      </c>
      <c r="M14" s="284">
        <v>180</v>
      </c>
      <c r="N14" s="284">
        <f t="shared" si="1"/>
        <v>2160</v>
      </c>
    </row>
    <row r="15" spans="1:14" x14ac:dyDescent="0.25">
      <c r="A15" s="229" t="s">
        <v>329</v>
      </c>
      <c r="B15" s="230">
        <v>0</v>
      </c>
      <c r="C15" s="230">
        <v>264.5</v>
      </c>
      <c r="D15" s="230">
        <v>134.5</v>
      </c>
      <c r="E15" s="230">
        <v>134.5</v>
      </c>
      <c r="F15" s="230">
        <v>134.5</v>
      </c>
      <c r="G15" s="230">
        <v>134.5</v>
      </c>
      <c r="H15" s="230">
        <v>134.5</v>
      </c>
      <c r="I15" s="230">
        <v>134.5</v>
      </c>
      <c r="J15" s="230">
        <v>134.5</v>
      </c>
      <c r="K15" s="230">
        <v>134.5</v>
      </c>
      <c r="L15" s="230">
        <v>0</v>
      </c>
      <c r="M15" s="230">
        <v>0</v>
      </c>
      <c r="N15" s="230">
        <f t="shared" si="1"/>
        <v>1340.5</v>
      </c>
    </row>
    <row r="16" spans="1:14" x14ac:dyDescent="0.25">
      <c r="A16" s="164" t="s">
        <v>320</v>
      </c>
      <c r="B16" s="230">
        <v>0</v>
      </c>
      <c r="C16" s="230">
        <v>0</v>
      </c>
      <c r="D16" s="230">
        <v>1000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f>SUM(B16:M16)</f>
        <v>1000</v>
      </c>
    </row>
    <row r="17" spans="1:14" x14ac:dyDescent="0.25">
      <c r="A17" s="229" t="s">
        <v>260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f t="shared" si="1"/>
        <v>0</v>
      </c>
    </row>
    <row r="18" spans="1:14" x14ac:dyDescent="0.25">
      <c r="A18" s="272" t="s">
        <v>263</v>
      </c>
      <c r="B18" s="284">
        <v>11</v>
      </c>
      <c r="C18" s="284">
        <v>11</v>
      </c>
      <c r="D18" s="284">
        <v>11</v>
      </c>
      <c r="E18" s="284">
        <v>11</v>
      </c>
      <c r="F18" s="284">
        <v>11</v>
      </c>
      <c r="G18" s="284">
        <v>11</v>
      </c>
      <c r="H18" s="284">
        <v>11</v>
      </c>
      <c r="I18" s="284">
        <v>11</v>
      </c>
      <c r="J18" s="284">
        <v>1800</v>
      </c>
      <c r="K18" s="284">
        <v>10</v>
      </c>
      <c r="L18" s="284">
        <v>10</v>
      </c>
      <c r="M18" s="284">
        <v>10</v>
      </c>
      <c r="N18" s="284">
        <f t="shared" si="1"/>
        <v>1918</v>
      </c>
    </row>
    <row r="19" spans="1:14" x14ac:dyDescent="0.25">
      <c r="A19" s="272" t="s">
        <v>232</v>
      </c>
      <c r="B19" s="284">
        <v>150</v>
      </c>
      <c r="C19" s="284">
        <v>150</v>
      </c>
      <c r="D19" s="284">
        <v>150</v>
      </c>
      <c r="E19" s="284">
        <v>150</v>
      </c>
      <c r="F19" s="284">
        <v>0</v>
      </c>
      <c r="G19" s="284">
        <v>0</v>
      </c>
      <c r="H19" s="284">
        <v>0</v>
      </c>
      <c r="I19" s="284">
        <v>0</v>
      </c>
      <c r="J19" s="284">
        <v>150</v>
      </c>
      <c r="K19" s="284">
        <v>150</v>
      </c>
      <c r="L19" s="284">
        <v>150</v>
      </c>
      <c r="M19" s="284">
        <v>150</v>
      </c>
      <c r="N19" s="284">
        <f t="shared" si="1"/>
        <v>1200</v>
      </c>
    </row>
    <row r="20" spans="1:14" x14ac:dyDescent="0.25">
      <c r="A20" s="272" t="s">
        <v>215</v>
      </c>
      <c r="B20" s="284">
        <v>16</v>
      </c>
      <c r="C20" s="284">
        <v>16</v>
      </c>
      <c r="D20" s="284">
        <v>16</v>
      </c>
      <c r="E20" s="284">
        <v>16</v>
      </c>
      <c r="F20" s="284">
        <v>16</v>
      </c>
      <c r="G20" s="284">
        <v>16</v>
      </c>
      <c r="H20" s="284">
        <v>16</v>
      </c>
      <c r="I20" s="284">
        <v>16</v>
      </c>
      <c r="J20" s="284">
        <v>16</v>
      </c>
      <c r="K20" s="284">
        <v>16</v>
      </c>
      <c r="L20" s="284">
        <v>16</v>
      </c>
      <c r="M20" s="284">
        <v>16</v>
      </c>
      <c r="N20" s="284">
        <f t="shared" si="1"/>
        <v>192</v>
      </c>
    </row>
    <row r="21" spans="1:14" x14ac:dyDescent="0.25">
      <c r="A21" s="281" t="s">
        <v>190</v>
      </c>
      <c r="B21" s="282">
        <f>SUM(B11:B20)</f>
        <v>357</v>
      </c>
      <c r="C21" s="282">
        <f t="shared" ref="C21:N21" si="2">SUM(C11:C20)</f>
        <v>871.5</v>
      </c>
      <c r="D21" s="282">
        <f t="shared" si="2"/>
        <v>11741.5</v>
      </c>
      <c r="E21" s="282">
        <f t="shared" si="2"/>
        <v>10741.5</v>
      </c>
      <c r="F21" s="282">
        <f t="shared" si="2"/>
        <v>591.5</v>
      </c>
      <c r="G21" s="282">
        <f t="shared" si="2"/>
        <v>591.5</v>
      </c>
      <c r="H21" s="282">
        <f t="shared" si="2"/>
        <v>45591.5</v>
      </c>
      <c r="I21" s="282">
        <f t="shared" si="2"/>
        <v>591.5</v>
      </c>
      <c r="J21" s="282">
        <f t="shared" si="2"/>
        <v>12530.5</v>
      </c>
      <c r="K21" s="282">
        <f t="shared" si="2"/>
        <v>68740.5</v>
      </c>
      <c r="L21" s="282">
        <f t="shared" si="2"/>
        <v>606</v>
      </c>
      <c r="M21" s="282">
        <f t="shared" si="2"/>
        <v>356</v>
      </c>
      <c r="N21" s="282">
        <f t="shared" si="2"/>
        <v>153310.5</v>
      </c>
    </row>
    <row r="22" spans="1:14" x14ac:dyDescent="0.25">
      <c r="A22" s="283" t="s">
        <v>191</v>
      </c>
      <c r="B22" s="282">
        <f t="shared" ref="B22:N22" si="3">SUM(B21)</f>
        <v>357</v>
      </c>
      <c r="C22" s="282">
        <f t="shared" si="3"/>
        <v>871.5</v>
      </c>
      <c r="D22" s="282">
        <f t="shared" si="3"/>
        <v>11741.5</v>
      </c>
      <c r="E22" s="282">
        <f t="shared" si="3"/>
        <v>10741.5</v>
      </c>
      <c r="F22" s="282">
        <f t="shared" si="3"/>
        <v>591.5</v>
      </c>
      <c r="G22" s="282">
        <f t="shared" si="3"/>
        <v>591.5</v>
      </c>
      <c r="H22" s="282">
        <f t="shared" si="3"/>
        <v>45591.5</v>
      </c>
      <c r="I22" s="282">
        <f t="shared" si="3"/>
        <v>591.5</v>
      </c>
      <c r="J22" s="282">
        <f t="shared" si="3"/>
        <v>12530.5</v>
      </c>
      <c r="K22" s="282">
        <f t="shared" si="3"/>
        <v>68740.5</v>
      </c>
      <c r="L22" s="282">
        <f t="shared" si="3"/>
        <v>606</v>
      </c>
      <c r="M22" s="282">
        <f t="shared" si="3"/>
        <v>356</v>
      </c>
      <c r="N22" s="282">
        <f t="shared" si="3"/>
        <v>153310.5</v>
      </c>
    </row>
    <row r="23" spans="1:14" x14ac:dyDescent="0.25">
      <c r="A23" s="276" t="s">
        <v>192</v>
      </c>
      <c r="B23" s="277">
        <f t="shared" ref="B23:N23" si="4">B8-B22</f>
        <v>-357</v>
      </c>
      <c r="C23" s="277">
        <f t="shared" si="4"/>
        <v>-871.5</v>
      </c>
      <c r="D23" s="277">
        <f t="shared" si="4"/>
        <v>-11741.5</v>
      </c>
      <c r="E23" s="277">
        <f t="shared" si="4"/>
        <v>-10741.5</v>
      </c>
      <c r="F23" s="277">
        <f t="shared" si="4"/>
        <v>-591.5</v>
      </c>
      <c r="G23" s="277">
        <f t="shared" si="4"/>
        <v>-591.5</v>
      </c>
      <c r="H23" s="277">
        <f t="shared" si="4"/>
        <v>-45591.5</v>
      </c>
      <c r="I23" s="277">
        <f t="shared" si="4"/>
        <v>-591.5</v>
      </c>
      <c r="J23" s="277">
        <f t="shared" si="4"/>
        <v>-12530.5</v>
      </c>
      <c r="K23" s="277">
        <f t="shared" si="4"/>
        <v>-68740.5</v>
      </c>
      <c r="L23" s="277">
        <f t="shared" si="4"/>
        <v>-606</v>
      </c>
      <c r="M23" s="277">
        <f t="shared" si="4"/>
        <v>-356</v>
      </c>
      <c r="N23" s="277">
        <f t="shared" si="4"/>
        <v>-153310.5</v>
      </c>
    </row>
    <row r="24" spans="1:14" x14ac:dyDescent="0.25">
      <c r="A24" s="278" t="s">
        <v>193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</row>
    <row r="25" spans="1:14" x14ac:dyDescent="0.25">
      <c r="A25" s="280" t="s">
        <v>196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</row>
    <row r="26" spans="1:14" x14ac:dyDescent="0.25">
      <c r="A26" s="229" t="s">
        <v>224</v>
      </c>
      <c r="B26" s="230">
        <v>150</v>
      </c>
      <c r="C26" s="230">
        <v>150</v>
      </c>
      <c r="D26" s="230">
        <v>150</v>
      </c>
      <c r="E26" s="230">
        <v>150</v>
      </c>
      <c r="F26" s="230">
        <v>150</v>
      </c>
      <c r="G26" s="230">
        <v>150</v>
      </c>
      <c r="H26" s="230">
        <v>150</v>
      </c>
      <c r="I26" s="230">
        <v>150</v>
      </c>
      <c r="J26" s="230">
        <v>150</v>
      </c>
      <c r="K26" s="230">
        <v>150</v>
      </c>
      <c r="L26" s="230">
        <v>150</v>
      </c>
      <c r="M26" s="230">
        <v>150</v>
      </c>
      <c r="N26" s="230">
        <f>SUM(B26:M26)</f>
        <v>1800</v>
      </c>
    </row>
    <row r="27" spans="1:14" x14ac:dyDescent="0.25">
      <c r="A27" s="281" t="s">
        <v>197</v>
      </c>
      <c r="B27" s="282">
        <f t="shared" ref="B27:N27" si="5">SUM(B26)</f>
        <v>150</v>
      </c>
      <c r="C27" s="282">
        <f t="shared" si="5"/>
        <v>150</v>
      </c>
      <c r="D27" s="282">
        <f t="shared" si="5"/>
        <v>150</v>
      </c>
      <c r="E27" s="282">
        <f t="shared" si="5"/>
        <v>150</v>
      </c>
      <c r="F27" s="282">
        <f t="shared" si="5"/>
        <v>150</v>
      </c>
      <c r="G27" s="282">
        <f t="shared" si="5"/>
        <v>150</v>
      </c>
      <c r="H27" s="282">
        <f t="shared" si="5"/>
        <v>150</v>
      </c>
      <c r="I27" s="282">
        <f t="shared" si="5"/>
        <v>150</v>
      </c>
      <c r="J27" s="282">
        <f t="shared" si="5"/>
        <v>150</v>
      </c>
      <c r="K27" s="282">
        <f t="shared" si="5"/>
        <v>150</v>
      </c>
      <c r="L27" s="282">
        <f t="shared" si="5"/>
        <v>150</v>
      </c>
      <c r="M27" s="282">
        <f t="shared" si="5"/>
        <v>150</v>
      </c>
      <c r="N27" s="282">
        <f t="shared" si="5"/>
        <v>1800</v>
      </c>
    </row>
    <row r="28" spans="1:14" x14ac:dyDescent="0.25">
      <c r="A28" s="283" t="s">
        <v>200</v>
      </c>
      <c r="B28" s="282">
        <f>SUM(,B27)</f>
        <v>150</v>
      </c>
      <c r="C28" s="282">
        <f t="shared" ref="C28:N28" si="6">SUM(,C27)</f>
        <v>150</v>
      </c>
      <c r="D28" s="282">
        <f t="shared" si="6"/>
        <v>150</v>
      </c>
      <c r="E28" s="282">
        <f t="shared" si="6"/>
        <v>150</v>
      </c>
      <c r="F28" s="282">
        <f t="shared" si="6"/>
        <v>150</v>
      </c>
      <c r="G28" s="282">
        <f t="shared" si="6"/>
        <v>150</v>
      </c>
      <c r="H28" s="282">
        <f t="shared" si="6"/>
        <v>150</v>
      </c>
      <c r="I28" s="282">
        <f t="shared" si="6"/>
        <v>150</v>
      </c>
      <c r="J28" s="282">
        <f t="shared" si="6"/>
        <v>150</v>
      </c>
      <c r="K28" s="282">
        <f t="shared" si="6"/>
        <v>150</v>
      </c>
      <c r="L28" s="282">
        <f t="shared" si="6"/>
        <v>150</v>
      </c>
      <c r="M28" s="282">
        <f t="shared" si="6"/>
        <v>150</v>
      </c>
      <c r="N28" s="282">
        <f t="shared" si="6"/>
        <v>1800</v>
      </c>
    </row>
    <row r="29" spans="1:14" x14ac:dyDescent="0.25">
      <c r="A29" s="276" t="s">
        <v>29</v>
      </c>
      <c r="B29" s="277">
        <f t="shared" ref="B29:N29" si="7">B23+B28+0</f>
        <v>-207</v>
      </c>
      <c r="C29" s="277">
        <f t="shared" si="7"/>
        <v>-721.5</v>
      </c>
      <c r="D29" s="277">
        <f t="shared" si="7"/>
        <v>-11591.5</v>
      </c>
      <c r="E29" s="277">
        <f t="shared" si="7"/>
        <v>-10591.5</v>
      </c>
      <c r="F29" s="277">
        <f t="shared" si="7"/>
        <v>-441.5</v>
      </c>
      <c r="G29" s="277">
        <f t="shared" si="7"/>
        <v>-441.5</v>
      </c>
      <c r="H29" s="277">
        <f t="shared" si="7"/>
        <v>-45441.5</v>
      </c>
      <c r="I29" s="277">
        <f t="shared" si="7"/>
        <v>-441.5</v>
      </c>
      <c r="J29" s="277">
        <f t="shared" si="7"/>
        <v>-12380.5</v>
      </c>
      <c r="K29" s="277">
        <f t="shared" si="7"/>
        <v>-68590.5</v>
      </c>
      <c r="L29" s="277">
        <f t="shared" si="7"/>
        <v>-456</v>
      </c>
      <c r="M29" s="277">
        <f t="shared" si="7"/>
        <v>-206</v>
      </c>
      <c r="N29" s="277">
        <f t="shared" si="7"/>
        <v>-151510.5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F071-E378-D341-A2FD-4DF428B89B10}">
  <sheetPr codeName="Sheet25">
    <tabColor rgb="FFFFC000"/>
    <pageSetUpPr fitToPage="1"/>
  </sheetPr>
  <dimension ref="A1:O24"/>
  <sheetViews>
    <sheetView topLeftCell="A2" workbookViewId="0">
      <selection activeCell="E24" sqref="E24"/>
    </sheetView>
  </sheetViews>
  <sheetFormatPr defaultColWidth="46" defaultRowHeight="15.75" x14ac:dyDescent="0.25"/>
  <cols>
    <col min="1" max="1" width="46.125" bestFit="1" customWidth="1"/>
    <col min="2" max="3" width="7.125" bestFit="1" customWidth="1"/>
    <col min="4" max="4" width="8.125" bestFit="1" customWidth="1"/>
    <col min="5" max="5" width="7.875" bestFit="1" customWidth="1"/>
    <col min="6" max="6" width="6.25" bestFit="1" customWidth="1"/>
    <col min="7" max="8" width="7.375" bestFit="1" customWidth="1"/>
    <col min="9" max="9" width="6.25" bestFit="1" customWidth="1"/>
    <col min="10" max="11" width="8.125" bestFit="1" customWidth="1"/>
    <col min="12" max="12" width="6.25" bestFit="1" customWidth="1"/>
    <col min="13" max="13" width="6.125" bestFit="1" customWidth="1"/>
    <col min="14" max="14" width="8.125" bestFit="1" customWidth="1"/>
    <col min="15" max="15" width="17.125" bestFit="1" customWidth="1"/>
  </cols>
  <sheetData>
    <row r="1" spans="1:15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5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5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5" ht="18" x14ac:dyDescent="0.25">
      <c r="A4" s="372" t="s">
        <v>107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5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5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5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5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5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5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5" x14ac:dyDescent="0.25">
      <c r="A11" s="164" t="s">
        <v>323</v>
      </c>
      <c r="B11" s="165">
        <v>0</v>
      </c>
      <c r="C11" s="165">
        <v>0</v>
      </c>
      <c r="D11" s="165">
        <v>0</v>
      </c>
      <c r="E11" s="165">
        <v>30250</v>
      </c>
      <c r="F11" s="165">
        <v>0</v>
      </c>
      <c r="G11" s="165">
        <v>0</v>
      </c>
      <c r="H11" s="165">
        <v>0</v>
      </c>
      <c r="I11" s="165">
        <v>0</v>
      </c>
      <c r="J11" s="165">
        <v>30250</v>
      </c>
      <c r="K11" s="165">
        <v>0</v>
      </c>
      <c r="L11" s="165">
        <v>0</v>
      </c>
      <c r="M11" s="165">
        <v>0</v>
      </c>
      <c r="N11" s="165">
        <f t="shared" ref="N11:N12" si="1">SUM(B11:M11)</f>
        <v>60500</v>
      </c>
    </row>
    <row r="12" spans="1:15" x14ac:dyDescent="0.25">
      <c r="A12" s="164" t="s">
        <v>349</v>
      </c>
      <c r="B12" s="165">
        <v>0</v>
      </c>
      <c r="C12" s="165">
        <v>338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338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si="1"/>
        <v>676</v>
      </c>
      <c r="O12" s="184"/>
    </row>
    <row r="13" spans="1:15" x14ac:dyDescent="0.25">
      <c r="A13" s="229" t="s">
        <v>335</v>
      </c>
      <c r="B13" s="165">
        <v>145</v>
      </c>
      <c r="C13" s="165">
        <v>145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f t="shared" ref="N13:N20" si="2">SUM(B13:M13)</f>
        <v>290</v>
      </c>
      <c r="O13" s="184"/>
    </row>
    <row r="14" spans="1:15" x14ac:dyDescent="0.25">
      <c r="A14" s="164" t="s">
        <v>318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1000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2"/>
        <v>1000</v>
      </c>
    </row>
    <row r="15" spans="1:15" x14ac:dyDescent="0.25">
      <c r="A15" s="164" t="s">
        <v>260</v>
      </c>
      <c r="B15" s="165">
        <v>0</v>
      </c>
      <c r="C15" s="165">
        <v>23</v>
      </c>
      <c r="D15" s="165">
        <v>23</v>
      </c>
      <c r="E15" s="165">
        <v>23</v>
      </c>
      <c r="F15" s="165">
        <v>23</v>
      </c>
      <c r="G15" s="165">
        <v>23</v>
      </c>
      <c r="H15" s="165">
        <v>23</v>
      </c>
      <c r="I15" s="165">
        <v>23</v>
      </c>
      <c r="J15" s="165">
        <v>23</v>
      </c>
      <c r="K15" s="165">
        <v>23</v>
      </c>
      <c r="L15" s="165">
        <v>23</v>
      </c>
      <c r="M15" s="165">
        <v>0</v>
      </c>
      <c r="N15" s="165">
        <f t="shared" si="2"/>
        <v>230</v>
      </c>
    </row>
    <row r="16" spans="1:15" x14ac:dyDescent="0.25">
      <c r="A16" s="164" t="s">
        <v>342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f t="shared" si="2"/>
        <v>0</v>
      </c>
    </row>
    <row r="17" spans="1:14" x14ac:dyDescent="0.25">
      <c r="A17" s="229" t="s">
        <v>263</v>
      </c>
      <c r="B17" s="165">
        <v>20</v>
      </c>
      <c r="C17" s="165">
        <v>20</v>
      </c>
      <c r="D17" s="165">
        <v>20</v>
      </c>
      <c r="E17" s="165">
        <v>20</v>
      </c>
      <c r="F17" s="165">
        <v>20</v>
      </c>
      <c r="G17" s="165">
        <v>20</v>
      </c>
      <c r="H17" s="165">
        <v>20</v>
      </c>
      <c r="I17" s="165">
        <v>20</v>
      </c>
      <c r="J17" s="165">
        <v>20</v>
      </c>
      <c r="K17" s="165">
        <v>20</v>
      </c>
      <c r="L17" s="165">
        <v>20</v>
      </c>
      <c r="M17" s="165">
        <v>20</v>
      </c>
      <c r="N17" s="165">
        <f>SUM(B17:M17)</f>
        <v>240</v>
      </c>
    </row>
    <row r="18" spans="1:14" x14ac:dyDescent="0.25">
      <c r="A18" s="229" t="s">
        <v>347</v>
      </c>
      <c r="B18" s="165">
        <v>20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f t="shared" ref="N18:N19" si="3">SUM(B18:M18)</f>
        <v>20</v>
      </c>
    </row>
    <row r="19" spans="1:14" x14ac:dyDescent="0.25">
      <c r="A19" s="229" t="s">
        <v>320</v>
      </c>
      <c r="B19" s="230">
        <v>95</v>
      </c>
      <c r="C19" s="230">
        <v>95</v>
      </c>
      <c r="D19" s="230">
        <v>95</v>
      </c>
      <c r="E19" s="230">
        <v>95</v>
      </c>
      <c r="F19" s="230">
        <v>95</v>
      </c>
      <c r="G19" s="230">
        <v>95</v>
      </c>
      <c r="H19" s="230">
        <v>95</v>
      </c>
      <c r="I19" s="230">
        <v>95</v>
      </c>
      <c r="J19" s="230">
        <v>95</v>
      </c>
      <c r="K19" s="230">
        <v>95</v>
      </c>
      <c r="L19" s="230">
        <v>0</v>
      </c>
      <c r="M19" s="230">
        <v>0</v>
      </c>
      <c r="N19" s="230">
        <f t="shared" si="3"/>
        <v>950</v>
      </c>
    </row>
    <row r="20" spans="1:14" x14ac:dyDescent="0.25">
      <c r="A20" s="164" t="s">
        <v>268</v>
      </c>
      <c r="B20" s="165">
        <v>20</v>
      </c>
      <c r="C20" s="165">
        <v>20</v>
      </c>
      <c r="D20" s="165">
        <v>20</v>
      </c>
      <c r="E20" s="165">
        <v>20</v>
      </c>
      <c r="F20" s="165">
        <v>20</v>
      </c>
      <c r="G20" s="165">
        <v>20</v>
      </c>
      <c r="H20" s="165">
        <v>20</v>
      </c>
      <c r="I20" s="165">
        <v>20</v>
      </c>
      <c r="J20" s="165">
        <v>20</v>
      </c>
      <c r="K20" s="165">
        <v>20</v>
      </c>
      <c r="L20" s="165">
        <v>20</v>
      </c>
      <c r="M20" s="165">
        <v>20</v>
      </c>
      <c r="N20" s="165">
        <f t="shared" si="2"/>
        <v>240</v>
      </c>
    </row>
    <row r="21" spans="1:14" x14ac:dyDescent="0.25">
      <c r="A21" s="166" t="s">
        <v>190</v>
      </c>
      <c r="B21" s="167">
        <f t="shared" ref="B21:N21" si="4">SUM(B11:B20)</f>
        <v>300</v>
      </c>
      <c r="C21" s="167">
        <f t="shared" si="4"/>
        <v>641</v>
      </c>
      <c r="D21" s="167">
        <f t="shared" si="4"/>
        <v>158</v>
      </c>
      <c r="E21" s="167">
        <f t="shared" si="4"/>
        <v>30408</v>
      </c>
      <c r="F21" s="167">
        <f t="shared" si="4"/>
        <v>158</v>
      </c>
      <c r="G21" s="167">
        <f t="shared" si="4"/>
        <v>1158</v>
      </c>
      <c r="H21" s="167">
        <f t="shared" si="4"/>
        <v>158</v>
      </c>
      <c r="I21" s="167">
        <f t="shared" si="4"/>
        <v>496</v>
      </c>
      <c r="J21" s="167">
        <f t="shared" si="4"/>
        <v>30408</v>
      </c>
      <c r="K21" s="167">
        <f t="shared" si="4"/>
        <v>158</v>
      </c>
      <c r="L21" s="167">
        <f t="shared" si="4"/>
        <v>63</v>
      </c>
      <c r="M21" s="167">
        <f t="shared" si="4"/>
        <v>40</v>
      </c>
      <c r="N21" s="167">
        <f t="shared" si="4"/>
        <v>64146</v>
      </c>
    </row>
    <row r="22" spans="1:14" x14ac:dyDescent="0.25">
      <c r="A22" s="168" t="s">
        <v>191</v>
      </c>
      <c r="B22" s="167">
        <f t="shared" ref="B22:N22" si="5">SUM(B21)</f>
        <v>300</v>
      </c>
      <c r="C22" s="167">
        <f t="shared" ref="C22:M22" si="6">SUM(C21)</f>
        <v>641</v>
      </c>
      <c r="D22" s="167">
        <f t="shared" si="6"/>
        <v>158</v>
      </c>
      <c r="E22" s="167">
        <f t="shared" si="6"/>
        <v>30408</v>
      </c>
      <c r="F22" s="167">
        <f t="shared" si="6"/>
        <v>158</v>
      </c>
      <c r="G22" s="167">
        <f t="shared" si="6"/>
        <v>1158</v>
      </c>
      <c r="H22" s="167">
        <f t="shared" si="6"/>
        <v>158</v>
      </c>
      <c r="I22" s="167">
        <f t="shared" si="6"/>
        <v>496</v>
      </c>
      <c r="J22" s="167">
        <f t="shared" si="6"/>
        <v>30408</v>
      </c>
      <c r="K22" s="167">
        <f t="shared" si="6"/>
        <v>158</v>
      </c>
      <c r="L22" s="167">
        <f t="shared" si="6"/>
        <v>63</v>
      </c>
      <c r="M22" s="167">
        <f t="shared" si="6"/>
        <v>40</v>
      </c>
      <c r="N22" s="167">
        <f t="shared" si="5"/>
        <v>64146</v>
      </c>
    </row>
    <row r="23" spans="1:14" x14ac:dyDescent="0.25">
      <c r="A23" s="159" t="s">
        <v>192</v>
      </c>
      <c r="B23" s="160">
        <f t="shared" ref="B23:N23" si="7">B8-B22</f>
        <v>-300</v>
      </c>
      <c r="C23" s="160">
        <f t="shared" si="7"/>
        <v>-641</v>
      </c>
      <c r="D23" s="160">
        <f t="shared" si="7"/>
        <v>-158</v>
      </c>
      <c r="E23" s="160">
        <f t="shared" si="7"/>
        <v>-30408</v>
      </c>
      <c r="F23" s="160">
        <f t="shared" si="7"/>
        <v>-158</v>
      </c>
      <c r="G23" s="160">
        <f t="shared" si="7"/>
        <v>-1158</v>
      </c>
      <c r="H23" s="160">
        <f t="shared" si="7"/>
        <v>-158</v>
      </c>
      <c r="I23" s="160">
        <f t="shared" si="7"/>
        <v>-496</v>
      </c>
      <c r="J23" s="160">
        <f t="shared" si="7"/>
        <v>-30408</v>
      </c>
      <c r="K23" s="160">
        <f t="shared" si="7"/>
        <v>-158</v>
      </c>
      <c r="L23" s="160">
        <f t="shared" si="7"/>
        <v>-63</v>
      </c>
      <c r="M23" s="160">
        <f t="shared" si="7"/>
        <v>-40</v>
      </c>
      <c r="N23" s="160">
        <f t="shared" si="7"/>
        <v>-64146</v>
      </c>
    </row>
    <row r="24" spans="1:14" x14ac:dyDescent="0.25">
      <c r="A24" s="159" t="s">
        <v>29</v>
      </c>
      <c r="B24" s="160">
        <f t="shared" ref="B24:N24" si="8">B23+0+0</f>
        <v>-300</v>
      </c>
      <c r="C24" s="160">
        <f t="shared" si="8"/>
        <v>-641</v>
      </c>
      <c r="D24" s="160">
        <f t="shared" si="8"/>
        <v>-158</v>
      </c>
      <c r="E24" s="160">
        <f t="shared" si="8"/>
        <v>-30408</v>
      </c>
      <c r="F24" s="160">
        <f t="shared" si="8"/>
        <v>-158</v>
      </c>
      <c r="G24" s="160">
        <f t="shared" si="8"/>
        <v>-1158</v>
      </c>
      <c r="H24" s="160">
        <f t="shared" si="8"/>
        <v>-158</v>
      </c>
      <c r="I24" s="160">
        <f t="shared" si="8"/>
        <v>-496</v>
      </c>
      <c r="J24" s="160">
        <f t="shared" si="8"/>
        <v>-30408</v>
      </c>
      <c r="K24" s="160">
        <f t="shared" si="8"/>
        <v>-158</v>
      </c>
      <c r="L24" s="160">
        <f t="shared" si="8"/>
        <v>-63</v>
      </c>
      <c r="M24" s="160">
        <f t="shared" si="8"/>
        <v>-40</v>
      </c>
      <c r="N24" s="160">
        <f t="shared" si="8"/>
        <v>-64146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5F07-BEFC-4447-B9BE-85DBE4F1BE88}">
  <sheetPr codeName="Sheet26">
    <tabColor rgb="FFFFC000"/>
    <pageSetUpPr fitToPage="1"/>
  </sheetPr>
  <dimension ref="A1:N19"/>
  <sheetViews>
    <sheetView zoomScaleNormal="100" workbookViewId="0">
      <selection activeCell="M25" sqref="M25"/>
    </sheetView>
  </sheetViews>
  <sheetFormatPr defaultRowHeight="15.75" x14ac:dyDescent="0.25"/>
  <cols>
    <col min="1" max="1" width="46.125" bestFit="1" customWidth="1"/>
    <col min="2" max="2" width="6.875" bestFit="1" customWidth="1"/>
    <col min="3" max="3" width="6.625" customWidth="1"/>
    <col min="4" max="4" width="7.125" bestFit="1" customWidth="1"/>
    <col min="5" max="5" width="6.5" bestFit="1" customWidth="1"/>
    <col min="6" max="6" width="7.375" bestFit="1" customWidth="1"/>
    <col min="7" max="7" width="6.5" bestFit="1" customWidth="1"/>
    <col min="8" max="8" width="6.5" customWidth="1"/>
    <col min="9" max="9" width="6.75" bestFit="1" customWidth="1"/>
    <col min="10" max="10" width="7.375" bestFit="1" customWidth="1"/>
    <col min="11" max="11" width="6.5" bestFit="1" customWidth="1"/>
    <col min="12" max="12" width="6.875" bestFit="1" customWidth="1"/>
    <col min="13" max="13" width="6.875" customWidth="1"/>
    <col min="14" max="14" width="7.375" bestFit="1" customWidth="1"/>
  </cols>
  <sheetData>
    <row r="1" spans="1:14" x14ac:dyDescent="0.25">
      <c r="A1" s="373" t="s">
        <v>176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ht="18" x14ac:dyDescent="0.25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8" x14ac:dyDescent="0.25">
      <c r="A3" s="374" t="s">
        <v>178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8" x14ac:dyDescent="0.25">
      <c r="A4" s="374" t="s">
        <v>109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8" x14ac:dyDescent="0.25">
      <c r="A5" s="374" t="s">
        <v>180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1:14" x14ac:dyDescent="0.25">
      <c r="A6" s="273" t="s">
        <v>181</v>
      </c>
      <c r="B6" s="274">
        <v>45292</v>
      </c>
      <c r="C6" s="274">
        <v>45323</v>
      </c>
      <c r="D6" s="274">
        <v>45352</v>
      </c>
      <c r="E6" s="274">
        <v>45383</v>
      </c>
      <c r="F6" s="274">
        <v>45413</v>
      </c>
      <c r="G6" s="274">
        <v>45444</v>
      </c>
      <c r="H6" s="274">
        <v>45474</v>
      </c>
      <c r="I6" s="274">
        <v>45505</v>
      </c>
      <c r="J6" s="274">
        <v>45536</v>
      </c>
      <c r="K6" s="274">
        <v>45566</v>
      </c>
      <c r="L6" s="274">
        <v>45597</v>
      </c>
      <c r="M6" s="274">
        <v>45627</v>
      </c>
      <c r="N6" s="275" t="s">
        <v>46</v>
      </c>
    </row>
    <row r="7" spans="1:14" x14ac:dyDescent="0.25">
      <c r="A7" s="273" t="s">
        <v>184</v>
      </c>
      <c r="B7" s="275" t="s">
        <v>185</v>
      </c>
      <c r="C7" s="275" t="s">
        <v>185</v>
      </c>
      <c r="D7" s="275" t="s">
        <v>185</v>
      </c>
      <c r="E7" s="275" t="s">
        <v>185</v>
      </c>
      <c r="F7" s="275" t="s">
        <v>185</v>
      </c>
      <c r="G7" s="275" t="s">
        <v>185</v>
      </c>
      <c r="H7" s="275" t="s">
        <v>185</v>
      </c>
      <c r="I7" s="275" t="s">
        <v>185</v>
      </c>
      <c r="J7" s="275" t="s">
        <v>185</v>
      </c>
      <c r="K7" s="275" t="s">
        <v>185</v>
      </c>
      <c r="L7" s="275" t="s">
        <v>185</v>
      </c>
      <c r="M7" s="275" t="s">
        <v>185</v>
      </c>
      <c r="N7" s="275" t="s">
        <v>185</v>
      </c>
    </row>
    <row r="8" spans="1:14" x14ac:dyDescent="0.25">
      <c r="A8" s="276" t="s">
        <v>187</v>
      </c>
      <c r="B8" s="277">
        <f t="shared" ref="B8:N8" si="0">0-0</f>
        <v>0</v>
      </c>
      <c r="C8" s="277">
        <f t="shared" si="0"/>
        <v>0</v>
      </c>
      <c r="D8" s="277">
        <f t="shared" si="0"/>
        <v>0</v>
      </c>
      <c r="E8" s="277">
        <f t="shared" si="0"/>
        <v>0</v>
      </c>
      <c r="F8" s="277">
        <f t="shared" si="0"/>
        <v>0</v>
      </c>
      <c r="G8" s="277">
        <f t="shared" si="0"/>
        <v>0</v>
      </c>
      <c r="H8" s="277">
        <f t="shared" si="0"/>
        <v>0</v>
      </c>
      <c r="I8" s="277">
        <f t="shared" si="0"/>
        <v>0</v>
      </c>
      <c r="J8" s="277">
        <f t="shared" si="0"/>
        <v>0</v>
      </c>
      <c r="K8" s="277">
        <f t="shared" si="0"/>
        <v>0</v>
      </c>
      <c r="L8" s="277">
        <f t="shared" si="0"/>
        <v>0</v>
      </c>
      <c r="M8" s="277">
        <f t="shared" si="0"/>
        <v>0</v>
      </c>
      <c r="N8" s="277">
        <f t="shared" si="0"/>
        <v>0</v>
      </c>
    </row>
    <row r="9" spans="1:14" x14ac:dyDescent="0.25">
      <c r="A9" s="278" t="s">
        <v>188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1:14" x14ac:dyDescent="0.25">
      <c r="A10" s="280" t="s">
        <v>189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1:14" x14ac:dyDescent="0.25">
      <c r="A11" s="229" t="s">
        <v>341</v>
      </c>
      <c r="B11" s="230">
        <v>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f>SUM(B11:M11)</f>
        <v>0</v>
      </c>
    </row>
    <row r="12" spans="1:14" x14ac:dyDescent="0.25">
      <c r="A12" s="229" t="s">
        <v>337</v>
      </c>
      <c r="B12" s="230">
        <v>0</v>
      </c>
      <c r="C12" s="230">
        <v>0</v>
      </c>
      <c r="D12" s="230">
        <v>250</v>
      </c>
      <c r="E12" s="230">
        <v>250</v>
      </c>
      <c r="F12" s="230">
        <v>250</v>
      </c>
      <c r="G12" s="230">
        <v>250</v>
      </c>
      <c r="H12" s="230">
        <v>0</v>
      </c>
      <c r="I12" s="230">
        <v>250</v>
      </c>
      <c r="J12" s="230">
        <v>250</v>
      </c>
      <c r="K12" s="230">
        <v>250</v>
      </c>
      <c r="L12" s="230">
        <v>250</v>
      </c>
      <c r="M12" s="230">
        <v>0</v>
      </c>
      <c r="N12" s="230">
        <f t="shared" ref="N12:N15" si="1">SUM(B12:M12)</f>
        <v>2000</v>
      </c>
    </row>
    <row r="13" spans="1:14" x14ac:dyDescent="0.25">
      <c r="A13" s="229" t="s">
        <v>262</v>
      </c>
      <c r="B13" s="230">
        <v>0</v>
      </c>
      <c r="C13" s="230">
        <v>550</v>
      </c>
      <c r="D13" s="230">
        <v>475</v>
      </c>
      <c r="E13" s="230">
        <v>0</v>
      </c>
      <c r="F13" s="230">
        <v>0</v>
      </c>
      <c r="G13" s="230">
        <v>0</v>
      </c>
      <c r="H13" s="230">
        <v>0</v>
      </c>
      <c r="I13" s="230">
        <v>475</v>
      </c>
      <c r="J13" s="230">
        <v>0</v>
      </c>
      <c r="K13" s="230">
        <v>0</v>
      </c>
      <c r="L13" s="230">
        <v>0</v>
      </c>
      <c r="M13" s="230">
        <v>0</v>
      </c>
      <c r="N13" s="230">
        <f>SUM(B13:M13)</f>
        <v>1500</v>
      </c>
    </row>
    <row r="14" spans="1:14" x14ac:dyDescent="0.25">
      <c r="A14" s="229" t="s">
        <v>347</v>
      </c>
      <c r="B14" s="230">
        <v>30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f t="shared" ref="N14" si="2">SUM(B14:M14)</f>
        <v>30</v>
      </c>
    </row>
    <row r="15" spans="1:14" x14ac:dyDescent="0.25">
      <c r="A15" s="229" t="s">
        <v>263</v>
      </c>
      <c r="B15" s="230">
        <v>3</v>
      </c>
      <c r="C15" s="230">
        <v>3</v>
      </c>
      <c r="D15" s="230">
        <v>3</v>
      </c>
      <c r="E15" s="230">
        <v>3</v>
      </c>
      <c r="F15" s="230">
        <v>3</v>
      </c>
      <c r="G15" s="230">
        <v>3</v>
      </c>
      <c r="H15" s="230">
        <v>3</v>
      </c>
      <c r="I15" s="230">
        <v>3</v>
      </c>
      <c r="J15" s="230">
        <v>3</v>
      </c>
      <c r="K15" s="230">
        <v>3</v>
      </c>
      <c r="L15" s="230">
        <v>3</v>
      </c>
      <c r="M15" s="230">
        <v>3</v>
      </c>
      <c r="N15" s="230">
        <f t="shared" si="1"/>
        <v>36</v>
      </c>
    </row>
    <row r="16" spans="1:14" x14ac:dyDescent="0.25">
      <c r="A16" s="281" t="s">
        <v>190</v>
      </c>
      <c r="B16" s="282">
        <f>SUM(B11:B15)</f>
        <v>33</v>
      </c>
      <c r="C16" s="282">
        <f t="shared" ref="C16:N16" si="3">SUM(C11:C15)</f>
        <v>553</v>
      </c>
      <c r="D16" s="282">
        <f t="shared" si="3"/>
        <v>728</v>
      </c>
      <c r="E16" s="282">
        <f t="shared" si="3"/>
        <v>253</v>
      </c>
      <c r="F16" s="282">
        <f t="shared" si="3"/>
        <v>253</v>
      </c>
      <c r="G16" s="282">
        <f t="shared" si="3"/>
        <v>253</v>
      </c>
      <c r="H16" s="282">
        <f t="shared" si="3"/>
        <v>3</v>
      </c>
      <c r="I16" s="282">
        <f t="shared" si="3"/>
        <v>728</v>
      </c>
      <c r="J16" s="282">
        <f t="shared" si="3"/>
        <v>253</v>
      </c>
      <c r="K16" s="282">
        <f t="shared" si="3"/>
        <v>253</v>
      </c>
      <c r="L16" s="282">
        <f t="shared" si="3"/>
        <v>253</v>
      </c>
      <c r="M16" s="282">
        <f t="shared" si="3"/>
        <v>3</v>
      </c>
      <c r="N16" s="282">
        <f t="shared" si="3"/>
        <v>3566</v>
      </c>
    </row>
    <row r="17" spans="1:14" x14ac:dyDescent="0.25">
      <c r="A17" s="283" t="s">
        <v>191</v>
      </c>
      <c r="B17" s="282">
        <f t="shared" ref="B17" si="4">SUM(B16)</f>
        <v>33</v>
      </c>
      <c r="C17" s="282">
        <f t="shared" ref="C17:N17" si="5">SUM(C16)</f>
        <v>553</v>
      </c>
      <c r="D17" s="282">
        <f t="shared" si="5"/>
        <v>728</v>
      </c>
      <c r="E17" s="282">
        <f t="shared" si="5"/>
        <v>253</v>
      </c>
      <c r="F17" s="282">
        <f t="shared" si="5"/>
        <v>253</v>
      </c>
      <c r="G17" s="282">
        <f t="shared" si="5"/>
        <v>253</v>
      </c>
      <c r="H17" s="282">
        <f t="shared" si="5"/>
        <v>3</v>
      </c>
      <c r="I17" s="282">
        <f t="shared" si="5"/>
        <v>728</v>
      </c>
      <c r="J17" s="282">
        <f t="shared" si="5"/>
        <v>253</v>
      </c>
      <c r="K17" s="282">
        <f t="shared" si="5"/>
        <v>253</v>
      </c>
      <c r="L17" s="282">
        <f t="shared" si="5"/>
        <v>253</v>
      </c>
      <c r="M17" s="282">
        <f t="shared" si="5"/>
        <v>3</v>
      </c>
      <c r="N17" s="282">
        <f t="shared" si="5"/>
        <v>3566</v>
      </c>
    </row>
    <row r="18" spans="1:14" x14ac:dyDescent="0.25">
      <c r="A18" s="276" t="s">
        <v>192</v>
      </c>
      <c r="B18" s="277">
        <f>B8-B17</f>
        <v>-33</v>
      </c>
      <c r="C18" s="277">
        <f t="shared" ref="C18:N18" si="6">C8-C17</f>
        <v>-553</v>
      </c>
      <c r="D18" s="277">
        <f t="shared" si="6"/>
        <v>-728</v>
      </c>
      <c r="E18" s="277">
        <f t="shared" si="6"/>
        <v>-253</v>
      </c>
      <c r="F18" s="277">
        <f t="shared" si="6"/>
        <v>-253</v>
      </c>
      <c r="G18" s="277">
        <f t="shared" si="6"/>
        <v>-253</v>
      </c>
      <c r="H18" s="277">
        <f t="shared" si="6"/>
        <v>-3</v>
      </c>
      <c r="I18" s="277">
        <f t="shared" si="6"/>
        <v>-728</v>
      </c>
      <c r="J18" s="277">
        <f t="shared" si="6"/>
        <v>-253</v>
      </c>
      <c r="K18" s="277">
        <f t="shared" si="6"/>
        <v>-253</v>
      </c>
      <c r="L18" s="277">
        <f t="shared" si="6"/>
        <v>-253</v>
      </c>
      <c r="M18" s="277">
        <f t="shared" si="6"/>
        <v>-3</v>
      </c>
      <c r="N18" s="277">
        <f t="shared" si="6"/>
        <v>-3566</v>
      </c>
    </row>
    <row r="19" spans="1:14" x14ac:dyDescent="0.25">
      <c r="A19" s="276" t="s">
        <v>29</v>
      </c>
      <c r="B19" s="277">
        <f t="shared" ref="B19:N19" si="7">B18+0+0</f>
        <v>-33</v>
      </c>
      <c r="C19" s="277">
        <f t="shared" si="7"/>
        <v>-553</v>
      </c>
      <c r="D19" s="277">
        <f t="shared" si="7"/>
        <v>-728</v>
      </c>
      <c r="E19" s="277">
        <f t="shared" si="7"/>
        <v>-253</v>
      </c>
      <c r="F19" s="277">
        <f t="shared" si="7"/>
        <v>-253</v>
      </c>
      <c r="G19" s="277">
        <f t="shared" si="7"/>
        <v>-253</v>
      </c>
      <c r="H19" s="277">
        <f t="shared" si="7"/>
        <v>-3</v>
      </c>
      <c r="I19" s="277">
        <f t="shared" si="7"/>
        <v>-728</v>
      </c>
      <c r="J19" s="277">
        <f t="shared" si="7"/>
        <v>-253</v>
      </c>
      <c r="K19" s="277">
        <f t="shared" si="7"/>
        <v>-253</v>
      </c>
      <c r="L19" s="277">
        <f t="shared" si="7"/>
        <v>-253</v>
      </c>
      <c r="M19" s="277">
        <f t="shared" si="7"/>
        <v>-3</v>
      </c>
      <c r="N19" s="277">
        <f t="shared" si="7"/>
        <v>-3566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8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5D11-D4B1-4AC7-B227-6E024A0170BD}">
  <sheetPr codeName="Sheet27">
    <tabColor rgb="FFFFC000"/>
    <pageSetUpPr fitToPage="1"/>
  </sheetPr>
  <dimension ref="A1:N40"/>
  <sheetViews>
    <sheetView topLeftCell="A2" zoomScale="98" zoomScaleNormal="98" workbookViewId="0">
      <pane xSplit="1" ySplit="6" topLeftCell="N40" activePane="bottomRight" state="frozen"/>
      <selection pane="topRight" activeCell="B2" sqref="B2"/>
      <selection pane="bottomLeft" activeCell="A8" sqref="A8"/>
      <selection pane="bottomRight" activeCell="N40" sqref="N40"/>
    </sheetView>
  </sheetViews>
  <sheetFormatPr defaultColWidth="8.875" defaultRowHeight="15.75" x14ac:dyDescent="0.25"/>
  <cols>
    <col min="1" max="1" width="55.625" bestFit="1" customWidth="1"/>
    <col min="2" max="2" width="9.625" bestFit="1" customWidth="1"/>
    <col min="3" max="4" width="9.875" bestFit="1" customWidth="1"/>
    <col min="5" max="5" width="9.625" bestFit="1" customWidth="1"/>
    <col min="6" max="8" width="9.875" bestFit="1" customWidth="1"/>
    <col min="9" max="9" width="9.625" bestFit="1" customWidth="1"/>
    <col min="10" max="13" width="9.875" bestFit="1" customWidth="1"/>
    <col min="14" max="14" width="11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361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182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16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323</v>
      </c>
      <c r="B11" s="165">
        <v>45000</v>
      </c>
      <c r="C11" s="165">
        <v>0</v>
      </c>
      <c r="D11" s="165">
        <v>0</v>
      </c>
      <c r="E11" s="165">
        <v>0</v>
      </c>
      <c r="F11" s="165">
        <v>2500</v>
      </c>
      <c r="G11" s="165">
        <v>0</v>
      </c>
      <c r="H11" s="165">
        <v>0</v>
      </c>
      <c r="I11" s="165">
        <v>0</v>
      </c>
      <c r="J11" s="165">
        <v>0</v>
      </c>
      <c r="K11" s="165">
        <v>2500</v>
      </c>
      <c r="L11" s="165">
        <v>0</v>
      </c>
      <c r="M11" s="165">
        <v>0</v>
      </c>
      <c r="N11" s="165">
        <f>SUM(B11:M11)</f>
        <v>50000</v>
      </c>
    </row>
    <row r="12" spans="1:14" x14ac:dyDescent="0.25">
      <c r="A12" s="164" t="s">
        <v>335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f>SUM(B12:M12)</f>
        <v>0</v>
      </c>
    </row>
    <row r="13" spans="1:14" x14ac:dyDescent="0.25">
      <c r="A13" s="164" t="s">
        <v>337</v>
      </c>
      <c r="B13" s="165">
        <v>0</v>
      </c>
      <c r="C13" s="165">
        <v>2000</v>
      </c>
      <c r="D13" s="165">
        <v>2000</v>
      </c>
      <c r="E13" s="165">
        <v>2000</v>
      </c>
      <c r="F13" s="165">
        <v>2000</v>
      </c>
      <c r="G13" s="165">
        <v>2000</v>
      </c>
      <c r="H13" s="165">
        <v>2000</v>
      </c>
      <c r="I13" s="165">
        <v>2000</v>
      </c>
      <c r="J13" s="165">
        <v>2000</v>
      </c>
      <c r="K13" s="165">
        <v>2000</v>
      </c>
      <c r="L13" s="165">
        <v>2000</v>
      </c>
      <c r="M13" s="165">
        <v>0</v>
      </c>
      <c r="N13" s="165">
        <f t="shared" ref="N13:N23" si="1">SUM(B13:M13)</f>
        <v>20000</v>
      </c>
    </row>
    <row r="14" spans="1:14" x14ac:dyDescent="0.25">
      <c r="A14" s="164" t="s">
        <v>25</v>
      </c>
      <c r="B14" s="165">
        <v>100</v>
      </c>
      <c r="C14" s="165">
        <v>100</v>
      </c>
      <c r="D14" s="165">
        <v>100</v>
      </c>
      <c r="E14" s="165">
        <v>100</v>
      </c>
      <c r="F14" s="165">
        <v>100</v>
      </c>
      <c r="G14" s="165">
        <v>100</v>
      </c>
      <c r="H14" s="165">
        <v>100</v>
      </c>
      <c r="I14" s="165">
        <v>100</v>
      </c>
      <c r="J14" s="165">
        <v>100</v>
      </c>
      <c r="K14" s="165">
        <v>100</v>
      </c>
      <c r="L14" s="165">
        <v>100</v>
      </c>
      <c r="M14" s="165">
        <v>100</v>
      </c>
      <c r="N14" s="165">
        <f t="shared" si="1"/>
        <v>1200</v>
      </c>
    </row>
    <row r="15" spans="1:14" x14ac:dyDescent="0.25">
      <c r="A15" s="164" t="s">
        <v>206</v>
      </c>
      <c r="B15" s="165">
        <v>300</v>
      </c>
      <c r="C15" s="165">
        <v>300</v>
      </c>
      <c r="D15" s="165">
        <v>300</v>
      </c>
      <c r="E15" s="165">
        <v>300</v>
      </c>
      <c r="F15" s="165">
        <v>300</v>
      </c>
      <c r="G15" s="165">
        <v>300</v>
      </c>
      <c r="H15" s="165">
        <v>300</v>
      </c>
      <c r="I15" s="165">
        <v>300</v>
      </c>
      <c r="J15" s="165">
        <v>300</v>
      </c>
      <c r="K15" s="165">
        <v>300</v>
      </c>
      <c r="L15" s="165">
        <v>300</v>
      </c>
      <c r="M15" s="165">
        <v>300</v>
      </c>
      <c r="N15" s="165">
        <f t="shared" si="1"/>
        <v>3600</v>
      </c>
    </row>
    <row r="16" spans="1:14" x14ac:dyDescent="0.25">
      <c r="A16" s="164" t="s">
        <v>207</v>
      </c>
      <c r="B16" s="165">
        <v>40</v>
      </c>
      <c r="C16" s="165">
        <v>40</v>
      </c>
      <c r="D16" s="165">
        <v>40</v>
      </c>
      <c r="E16" s="165">
        <v>40</v>
      </c>
      <c r="F16" s="165">
        <v>40</v>
      </c>
      <c r="G16" s="165">
        <v>40</v>
      </c>
      <c r="H16" s="165">
        <v>40</v>
      </c>
      <c r="I16" s="165">
        <v>40</v>
      </c>
      <c r="J16" s="165">
        <v>40</v>
      </c>
      <c r="K16" s="165">
        <v>40</v>
      </c>
      <c r="L16" s="165">
        <v>40</v>
      </c>
      <c r="M16" s="165">
        <v>40</v>
      </c>
      <c r="N16" s="165">
        <f t="shared" si="1"/>
        <v>480</v>
      </c>
    </row>
    <row r="17" spans="1:14" x14ac:dyDescent="0.25">
      <c r="A17" s="164" t="s">
        <v>208</v>
      </c>
      <c r="B17" s="165">
        <v>120</v>
      </c>
      <c r="C17" s="165">
        <v>120</v>
      </c>
      <c r="D17" s="165">
        <v>120</v>
      </c>
      <c r="E17" s="165">
        <v>120</v>
      </c>
      <c r="F17" s="165">
        <v>120</v>
      </c>
      <c r="G17" s="165">
        <v>120</v>
      </c>
      <c r="H17" s="165">
        <v>120</v>
      </c>
      <c r="I17" s="165">
        <v>120</v>
      </c>
      <c r="J17" s="165">
        <v>120</v>
      </c>
      <c r="K17" s="165">
        <v>120</v>
      </c>
      <c r="L17" s="165">
        <v>120</v>
      </c>
      <c r="M17" s="165">
        <v>120</v>
      </c>
      <c r="N17" s="165">
        <f t="shared" si="1"/>
        <v>1440</v>
      </c>
    </row>
    <row r="18" spans="1:14" x14ac:dyDescent="0.25">
      <c r="A18" s="164" t="s">
        <v>362</v>
      </c>
      <c r="B18" s="165">
        <v>3750</v>
      </c>
      <c r="C18" s="165">
        <v>3750</v>
      </c>
      <c r="D18" s="165">
        <v>3750</v>
      </c>
      <c r="E18" s="165">
        <v>3750</v>
      </c>
      <c r="F18" s="165">
        <v>3750</v>
      </c>
      <c r="G18" s="165">
        <v>3750</v>
      </c>
      <c r="H18" s="165">
        <v>3750</v>
      </c>
      <c r="I18" s="165">
        <v>3750</v>
      </c>
      <c r="J18" s="165">
        <v>3750</v>
      </c>
      <c r="K18" s="165">
        <v>3750</v>
      </c>
      <c r="L18" s="165">
        <v>3750</v>
      </c>
      <c r="M18" s="165">
        <v>3750</v>
      </c>
      <c r="N18" s="165">
        <f t="shared" si="1"/>
        <v>45000</v>
      </c>
    </row>
    <row r="19" spans="1:14" x14ac:dyDescent="0.25">
      <c r="A19" s="164" t="s">
        <v>260</v>
      </c>
      <c r="B19" s="165">
        <v>160</v>
      </c>
      <c r="C19" s="165">
        <v>30</v>
      </c>
      <c r="D19" s="165">
        <v>30</v>
      </c>
      <c r="E19" s="165">
        <v>30</v>
      </c>
      <c r="F19" s="165">
        <v>30</v>
      </c>
      <c r="G19" s="165">
        <v>30</v>
      </c>
      <c r="H19" s="165">
        <v>30</v>
      </c>
      <c r="I19" s="165">
        <v>30</v>
      </c>
      <c r="J19" s="165">
        <v>30</v>
      </c>
      <c r="K19" s="165">
        <v>30</v>
      </c>
      <c r="L19" s="165">
        <v>30</v>
      </c>
      <c r="M19" s="165">
        <v>30</v>
      </c>
      <c r="N19" s="165">
        <f t="shared" si="1"/>
        <v>490</v>
      </c>
    </row>
    <row r="20" spans="1:14" x14ac:dyDescent="0.25">
      <c r="A20" s="164" t="s">
        <v>257</v>
      </c>
      <c r="B20" s="165">
        <v>0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f t="shared" si="1"/>
        <v>0</v>
      </c>
    </row>
    <row r="21" spans="1:14" x14ac:dyDescent="0.25">
      <c r="A21" s="164" t="s">
        <v>263</v>
      </c>
      <c r="B21" s="165">
        <v>90</v>
      </c>
      <c r="C21" s="165">
        <v>90</v>
      </c>
      <c r="D21" s="165">
        <v>90</v>
      </c>
      <c r="E21" s="165">
        <v>90</v>
      </c>
      <c r="F21" s="165">
        <v>90</v>
      </c>
      <c r="G21" s="165">
        <v>90</v>
      </c>
      <c r="H21" s="165">
        <v>90</v>
      </c>
      <c r="I21" s="165">
        <v>90</v>
      </c>
      <c r="J21" s="165">
        <v>90</v>
      </c>
      <c r="K21" s="165">
        <v>90</v>
      </c>
      <c r="L21" s="165">
        <v>90</v>
      </c>
      <c r="M21" s="165">
        <v>90</v>
      </c>
      <c r="N21" s="165">
        <f t="shared" si="1"/>
        <v>1080</v>
      </c>
    </row>
    <row r="22" spans="1:14" x14ac:dyDescent="0.25">
      <c r="A22" s="164" t="s">
        <v>214</v>
      </c>
      <c r="B22" s="165">
        <v>342.25</v>
      </c>
      <c r="C22" s="165">
        <v>342.25</v>
      </c>
      <c r="D22" s="165">
        <v>342.25</v>
      </c>
      <c r="E22" s="165">
        <v>342.25</v>
      </c>
      <c r="F22" s="165">
        <v>342.25</v>
      </c>
      <c r="G22" s="165">
        <v>342.25</v>
      </c>
      <c r="H22" s="165">
        <v>342.25</v>
      </c>
      <c r="I22" s="165">
        <v>342.25</v>
      </c>
      <c r="J22" s="165">
        <v>342.25</v>
      </c>
      <c r="K22" s="165">
        <v>342.25</v>
      </c>
      <c r="L22" s="165">
        <v>342.25</v>
      </c>
      <c r="M22" s="165">
        <v>342.25</v>
      </c>
      <c r="N22" s="165">
        <f t="shared" si="1"/>
        <v>4107</v>
      </c>
    </row>
    <row r="23" spans="1:14" x14ac:dyDescent="0.25">
      <c r="A23" s="164" t="s">
        <v>268</v>
      </c>
      <c r="B23" s="165">
        <v>78.180000000000007</v>
      </c>
      <c r="C23" s="165">
        <v>78.180000000000007</v>
      </c>
      <c r="D23" s="165">
        <v>78.180000000000007</v>
      </c>
      <c r="E23" s="165">
        <v>78.180000000000007</v>
      </c>
      <c r="F23" s="165">
        <v>78.180000000000007</v>
      </c>
      <c r="G23" s="165">
        <v>78.180000000000007</v>
      </c>
      <c r="H23" s="165">
        <v>78.180000000000007</v>
      </c>
      <c r="I23" s="165">
        <v>78.180000000000007</v>
      </c>
      <c r="J23" s="165">
        <v>78.180000000000007</v>
      </c>
      <c r="K23" s="165">
        <v>78.180000000000007</v>
      </c>
      <c r="L23" s="165">
        <v>78.180000000000007</v>
      </c>
      <c r="M23" s="165">
        <v>78.180000000000007</v>
      </c>
      <c r="N23" s="165">
        <f t="shared" si="1"/>
        <v>938.16000000000031</v>
      </c>
    </row>
    <row r="24" spans="1:14" x14ac:dyDescent="0.25">
      <c r="A24" s="166" t="s">
        <v>190</v>
      </c>
      <c r="B24" s="167">
        <f t="shared" ref="B24:M24" si="2">SUM(B12:B23)</f>
        <v>4980.43</v>
      </c>
      <c r="C24" s="167">
        <f t="shared" si="2"/>
        <v>6850.43</v>
      </c>
      <c r="D24" s="167">
        <f t="shared" si="2"/>
        <v>6850.43</v>
      </c>
      <c r="E24" s="167">
        <f t="shared" si="2"/>
        <v>6850.43</v>
      </c>
      <c r="F24" s="167">
        <f t="shared" si="2"/>
        <v>6850.43</v>
      </c>
      <c r="G24" s="167">
        <f t="shared" si="2"/>
        <v>6850.43</v>
      </c>
      <c r="H24" s="167">
        <f t="shared" si="2"/>
        <v>6850.43</v>
      </c>
      <c r="I24" s="167">
        <f t="shared" si="2"/>
        <v>6850.43</v>
      </c>
      <c r="J24" s="167">
        <f t="shared" si="2"/>
        <v>6850.43</v>
      </c>
      <c r="K24" s="167">
        <f t="shared" si="2"/>
        <v>6850.43</v>
      </c>
      <c r="L24" s="167">
        <f t="shared" si="2"/>
        <v>6850.43</v>
      </c>
      <c r="M24" s="167">
        <f t="shared" si="2"/>
        <v>4850.43</v>
      </c>
      <c r="N24" s="167">
        <f>SUM(N11:N23)</f>
        <v>128335.16</v>
      </c>
    </row>
    <row r="25" spans="1:14" x14ac:dyDescent="0.25">
      <c r="A25" s="163" t="s">
        <v>216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 x14ac:dyDescent="0.25">
      <c r="A26" s="164" t="s">
        <v>217</v>
      </c>
      <c r="B26" s="165">
        <v>10292.708514785993</v>
      </c>
      <c r="C26" s="165">
        <v>10834.430015564201</v>
      </c>
      <c r="D26" s="165">
        <v>11376.151516342412</v>
      </c>
      <c r="E26" s="165">
        <v>11917.873017120623</v>
      </c>
      <c r="F26" s="165">
        <v>12459.594517898831</v>
      </c>
      <c r="G26" s="165">
        <v>10834.430015564201</v>
      </c>
      <c r="H26" s="165">
        <v>12459.594517898831</v>
      </c>
      <c r="I26" s="165">
        <v>11917.873017120623</v>
      </c>
      <c r="J26" s="165">
        <v>11376.151516342412</v>
      </c>
      <c r="K26" s="165">
        <v>12459.594517898831</v>
      </c>
      <c r="L26" s="165">
        <v>11376.151516342412</v>
      </c>
      <c r="M26" s="165">
        <v>13566.566571120622</v>
      </c>
      <c r="N26" s="165">
        <f>SUM(B26:M26)</f>
        <v>140871.11925399999</v>
      </c>
    </row>
    <row r="27" spans="1:14" x14ac:dyDescent="0.25">
      <c r="A27" s="164" t="s">
        <v>218</v>
      </c>
      <c r="B27" s="165">
        <v>1907.2946939925207</v>
      </c>
      <c r="C27" s="165">
        <v>2007.6786252552849</v>
      </c>
      <c r="D27" s="165">
        <v>2108.0625565180494</v>
      </c>
      <c r="E27" s="165">
        <v>2208.4464877808136</v>
      </c>
      <c r="F27" s="165">
        <v>2308.8304190435779</v>
      </c>
      <c r="G27" s="165">
        <v>2007.6786252552849</v>
      </c>
      <c r="H27" s="165">
        <v>2308.8304190435779</v>
      </c>
      <c r="I27" s="165">
        <v>2208.4464877808136</v>
      </c>
      <c r="J27" s="165">
        <v>2108.0625565180494</v>
      </c>
      <c r="K27" s="165">
        <v>2308.8304190435779</v>
      </c>
      <c r="L27" s="165">
        <v>2108.0625565180494</v>
      </c>
      <c r="M27" s="165">
        <v>2208.4464877808136</v>
      </c>
      <c r="N27" s="165">
        <f>SUM(B27:M27)</f>
        <v>25798.670334530412</v>
      </c>
    </row>
    <row r="28" spans="1:14" x14ac:dyDescent="0.25">
      <c r="A28" s="164" t="s">
        <v>219</v>
      </c>
      <c r="B28" s="165">
        <v>109.06288429369869</v>
      </c>
      <c r="C28" s="165">
        <v>114.80303609863019</v>
      </c>
      <c r="D28" s="165">
        <v>120.5431879035617</v>
      </c>
      <c r="E28" s="165">
        <v>126.28333970849322</v>
      </c>
      <c r="F28" s="165">
        <v>132.02349151342472</v>
      </c>
      <c r="G28" s="165">
        <v>114.80303609863019</v>
      </c>
      <c r="H28" s="165">
        <v>132.02349151342472</v>
      </c>
      <c r="I28" s="165">
        <v>126.28333970849322</v>
      </c>
      <c r="J28" s="165">
        <v>120.5431879035617</v>
      </c>
      <c r="K28" s="165">
        <v>132.02349151342472</v>
      </c>
      <c r="L28" s="165">
        <v>120.5431879035617</v>
      </c>
      <c r="M28" s="165">
        <v>126.28333970849322</v>
      </c>
      <c r="N28" s="165">
        <f>SUM(B28:M28)</f>
        <v>1475.2190138673977</v>
      </c>
    </row>
    <row r="29" spans="1:14" x14ac:dyDescent="0.25">
      <c r="A29" s="164" t="s">
        <v>220</v>
      </c>
      <c r="B29" s="165">
        <v>1463.4829822073777</v>
      </c>
      <c r="C29" s="165">
        <v>979.2393496919766</v>
      </c>
      <c r="D29" s="165">
        <v>1028.2013171765755</v>
      </c>
      <c r="E29" s="165">
        <v>1077.1632846611742</v>
      </c>
      <c r="F29" s="165">
        <v>1126.1252521457729</v>
      </c>
      <c r="G29" s="165">
        <v>979.2393496919766</v>
      </c>
      <c r="H29" s="165">
        <v>1126.1252521457729</v>
      </c>
      <c r="I29" s="165">
        <v>1077.1632846611742</v>
      </c>
      <c r="J29" s="165">
        <v>1028.2013171765755</v>
      </c>
      <c r="K29" s="165">
        <v>1126.1252521457729</v>
      </c>
      <c r="L29" s="165">
        <v>1028.2013171765755</v>
      </c>
      <c r="M29" s="165">
        <v>1077.1632846611742</v>
      </c>
      <c r="N29" s="165">
        <f>SUM(B29:M29)</f>
        <v>13116.4312435419</v>
      </c>
    </row>
    <row r="30" spans="1:14" x14ac:dyDescent="0.25">
      <c r="A30" s="164" t="s">
        <v>221</v>
      </c>
      <c r="B30" s="165">
        <v>464.18181286964983</v>
      </c>
      <c r="C30" s="165">
        <v>270.86075038910508</v>
      </c>
      <c r="D30" s="165">
        <v>284.40378790856033</v>
      </c>
      <c r="E30" s="165">
        <v>297.94682542801559</v>
      </c>
      <c r="F30" s="165">
        <v>311.48986294747084</v>
      </c>
      <c r="G30" s="165">
        <v>270.86075038910508</v>
      </c>
      <c r="H30" s="165">
        <v>311.48986294747084</v>
      </c>
      <c r="I30" s="165">
        <v>297.94682542801559</v>
      </c>
      <c r="J30" s="165">
        <v>284.40378790856033</v>
      </c>
      <c r="K30" s="165">
        <v>311.48986294747084</v>
      </c>
      <c r="L30" s="165">
        <v>284.40378790856033</v>
      </c>
      <c r="M30" s="165">
        <v>297.94682542801559</v>
      </c>
      <c r="N30" s="165">
        <f>SUM(B30:M30)</f>
        <v>3687.4247425000003</v>
      </c>
    </row>
    <row r="31" spans="1:14" x14ac:dyDescent="0.25">
      <c r="A31" s="166" t="s">
        <v>222</v>
      </c>
      <c r="B31" s="167">
        <f t="shared" ref="B31:N31" si="3">SUM(B26:B30)</f>
        <v>14236.730888149239</v>
      </c>
      <c r="C31" s="167">
        <f t="shared" si="3"/>
        <v>14207.011776999198</v>
      </c>
      <c r="D31" s="167">
        <f t="shared" si="3"/>
        <v>14917.36236584916</v>
      </c>
      <c r="E31" s="167">
        <f t="shared" si="3"/>
        <v>15627.712954699118</v>
      </c>
      <c r="F31" s="167">
        <f t="shared" si="3"/>
        <v>16338.063543549077</v>
      </c>
      <c r="G31" s="167">
        <f t="shared" si="3"/>
        <v>14207.011776999198</v>
      </c>
      <c r="H31" s="167">
        <f t="shared" si="3"/>
        <v>16338.063543549077</v>
      </c>
      <c r="I31" s="167">
        <f t="shared" si="3"/>
        <v>15627.712954699118</v>
      </c>
      <c r="J31" s="167">
        <f t="shared" si="3"/>
        <v>14917.36236584916</v>
      </c>
      <c r="K31" s="167">
        <f t="shared" si="3"/>
        <v>16338.063543549077</v>
      </c>
      <c r="L31" s="167">
        <f t="shared" si="3"/>
        <v>14917.36236584916</v>
      </c>
      <c r="M31" s="167">
        <f t="shared" si="3"/>
        <v>17276.406508699118</v>
      </c>
      <c r="N31" s="167">
        <f t="shared" si="3"/>
        <v>184948.86458843973</v>
      </c>
    </row>
    <row r="32" spans="1:14" x14ac:dyDescent="0.25">
      <c r="A32" s="168" t="s">
        <v>191</v>
      </c>
      <c r="B32" s="167">
        <f t="shared" ref="B32:N32" si="4">SUM(B24,B31)</f>
        <v>19217.160888149239</v>
      </c>
      <c r="C32" s="167">
        <f t="shared" si="4"/>
        <v>21057.4417769992</v>
      </c>
      <c r="D32" s="167">
        <f t="shared" si="4"/>
        <v>21767.79236584916</v>
      </c>
      <c r="E32" s="167">
        <f t="shared" si="4"/>
        <v>22478.14295469912</v>
      </c>
      <c r="F32" s="167">
        <f t="shared" si="4"/>
        <v>23188.493543549077</v>
      </c>
      <c r="G32" s="167">
        <f t="shared" si="4"/>
        <v>21057.4417769992</v>
      </c>
      <c r="H32" s="167">
        <f t="shared" si="4"/>
        <v>23188.493543549077</v>
      </c>
      <c r="I32" s="167">
        <f t="shared" si="4"/>
        <v>22478.14295469912</v>
      </c>
      <c r="J32" s="167">
        <f t="shared" si="4"/>
        <v>21767.79236584916</v>
      </c>
      <c r="K32" s="167">
        <f t="shared" si="4"/>
        <v>23188.493543549077</v>
      </c>
      <c r="L32" s="167">
        <f t="shared" si="4"/>
        <v>21767.79236584916</v>
      </c>
      <c r="M32" s="167">
        <f t="shared" si="4"/>
        <v>22126.836508699118</v>
      </c>
      <c r="N32" s="167">
        <f t="shared" si="4"/>
        <v>313284.02458843973</v>
      </c>
    </row>
    <row r="33" spans="1:14" x14ac:dyDescent="0.25">
      <c r="A33" s="159" t="s">
        <v>192</v>
      </c>
      <c r="B33" s="160">
        <f t="shared" ref="B33:N33" si="5">B5-B32</f>
        <v>-19217.160888149239</v>
      </c>
      <c r="C33" s="160">
        <f t="shared" si="5"/>
        <v>-21057.4417769992</v>
      </c>
      <c r="D33" s="160">
        <f t="shared" si="5"/>
        <v>-21767.79236584916</v>
      </c>
      <c r="E33" s="160">
        <f t="shared" si="5"/>
        <v>-22478.14295469912</v>
      </c>
      <c r="F33" s="160">
        <f t="shared" si="5"/>
        <v>-23188.493543549077</v>
      </c>
      <c r="G33" s="160">
        <f t="shared" si="5"/>
        <v>-21057.4417769992</v>
      </c>
      <c r="H33" s="160">
        <f t="shared" si="5"/>
        <v>-23188.493543549077</v>
      </c>
      <c r="I33" s="160">
        <f t="shared" si="5"/>
        <v>-22478.14295469912</v>
      </c>
      <c r="J33" s="160">
        <f t="shared" si="5"/>
        <v>-21767.79236584916</v>
      </c>
      <c r="K33" s="160">
        <f t="shared" si="5"/>
        <v>-23188.493543549077</v>
      </c>
      <c r="L33" s="160">
        <f t="shared" si="5"/>
        <v>-21767.79236584916</v>
      </c>
      <c r="M33" s="160">
        <f t="shared" si="5"/>
        <v>-22126.836508699118</v>
      </c>
      <c r="N33" s="160">
        <f t="shared" si="5"/>
        <v>-313284.02458843973</v>
      </c>
    </row>
    <row r="34" spans="1:14" x14ac:dyDescent="0.25">
      <c r="A34" s="161" t="s">
        <v>193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 x14ac:dyDescent="0.25">
      <c r="A35" s="163" t="s">
        <v>196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 s="164" customFormat="1" ht="11.25" x14ac:dyDescent="0.2">
      <c r="A36" s="164" t="s">
        <v>321</v>
      </c>
      <c r="B36" s="165">
        <v>9650</v>
      </c>
      <c r="C36" s="165">
        <v>9650</v>
      </c>
      <c r="D36" s="165">
        <v>9650</v>
      </c>
      <c r="E36" s="165">
        <v>9650</v>
      </c>
      <c r="F36" s="165">
        <v>9650</v>
      </c>
      <c r="G36" s="165">
        <v>9650</v>
      </c>
      <c r="H36" s="165">
        <v>9650</v>
      </c>
      <c r="I36" s="165">
        <v>9650</v>
      </c>
      <c r="J36" s="165">
        <v>9650</v>
      </c>
      <c r="K36" s="165">
        <v>9650</v>
      </c>
      <c r="L36" s="165">
        <v>9650</v>
      </c>
      <c r="M36" s="165">
        <v>9650</v>
      </c>
      <c r="N36" s="165">
        <f>SUM(B36:M36)</f>
        <v>115800</v>
      </c>
    </row>
    <row r="37" spans="1:14" x14ac:dyDescent="0.25">
      <c r="A37" s="164" t="s">
        <v>224</v>
      </c>
      <c r="B37" s="165">
        <v>1000</v>
      </c>
      <c r="C37" s="165">
        <v>1000</v>
      </c>
      <c r="D37" s="165">
        <v>1000</v>
      </c>
      <c r="E37" s="165">
        <v>1000</v>
      </c>
      <c r="F37" s="165">
        <v>1000</v>
      </c>
      <c r="G37" s="165">
        <v>1000</v>
      </c>
      <c r="H37" s="165">
        <v>1000</v>
      </c>
      <c r="I37" s="165">
        <v>1000</v>
      </c>
      <c r="J37" s="165">
        <v>1000</v>
      </c>
      <c r="K37" s="165">
        <v>76000</v>
      </c>
      <c r="L37" s="165">
        <v>1000</v>
      </c>
      <c r="M37" s="165">
        <v>1000</v>
      </c>
      <c r="N37" s="165">
        <f>SUM(B37:M37)</f>
        <v>87000</v>
      </c>
    </row>
    <row r="38" spans="1:14" x14ac:dyDescent="0.25">
      <c r="A38" s="166" t="s">
        <v>197</v>
      </c>
      <c r="B38" s="167">
        <f t="shared" ref="B38:N39" si="6">SUM(B37)</f>
        <v>1000</v>
      </c>
      <c r="C38" s="167">
        <f t="shared" si="6"/>
        <v>1000</v>
      </c>
      <c r="D38" s="167">
        <f t="shared" si="6"/>
        <v>1000</v>
      </c>
      <c r="E38" s="167">
        <f t="shared" si="6"/>
        <v>1000</v>
      </c>
      <c r="F38" s="167">
        <f t="shared" si="6"/>
        <v>1000</v>
      </c>
      <c r="G38" s="167">
        <f t="shared" si="6"/>
        <v>1000</v>
      </c>
      <c r="H38" s="167">
        <f t="shared" si="6"/>
        <v>1000</v>
      </c>
      <c r="I38" s="167">
        <f t="shared" si="6"/>
        <v>1000</v>
      </c>
      <c r="J38" s="167">
        <f t="shared" si="6"/>
        <v>1000</v>
      </c>
      <c r="K38" s="167">
        <f t="shared" si="6"/>
        <v>76000</v>
      </c>
      <c r="L38" s="167">
        <f t="shared" si="6"/>
        <v>1000</v>
      </c>
      <c r="M38" s="167">
        <f t="shared" si="6"/>
        <v>1000</v>
      </c>
      <c r="N38" s="167">
        <f>SUM(N36:N37)</f>
        <v>202800</v>
      </c>
    </row>
    <row r="39" spans="1:14" x14ac:dyDescent="0.25">
      <c r="A39" s="168" t="s">
        <v>200</v>
      </c>
      <c r="B39" s="167">
        <f t="shared" si="6"/>
        <v>1000</v>
      </c>
      <c r="C39" s="167">
        <f t="shared" si="6"/>
        <v>1000</v>
      </c>
      <c r="D39" s="167">
        <f t="shared" si="6"/>
        <v>1000</v>
      </c>
      <c r="E39" s="167">
        <f t="shared" si="6"/>
        <v>1000</v>
      </c>
      <c r="F39" s="167">
        <f t="shared" si="6"/>
        <v>1000</v>
      </c>
      <c r="G39" s="167">
        <f t="shared" si="6"/>
        <v>1000</v>
      </c>
      <c r="H39" s="167">
        <f t="shared" si="6"/>
        <v>1000</v>
      </c>
      <c r="I39" s="167">
        <f t="shared" si="6"/>
        <v>1000</v>
      </c>
      <c r="J39" s="167">
        <f t="shared" si="6"/>
        <v>1000</v>
      </c>
      <c r="K39" s="167">
        <f t="shared" si="6"/>
        <v>76000</v>
      </c>
      <c r="L39" s="167">
        <f t="shared" si="6"/>
        <v>1000</v>
      </c>
      <c r="M39" s="167">
        <f t="shared" si="6"/>
        <v>1000</v>
      </c>
      <c r="N39" s="167">
        <f t="shared" si="6"/>
        <v>202800</v>
      </c>
    </row>
    <row r="40" spans="1:14" x14ac:dyDescent="0.25">
      <c r="A40" s="159" t="s">
        <v>29</v>
      </c>
      <c r="B40" s="160">
        <f t="shared" ref="B40:N40" si="7">B33+B39+0</f>
        <v>-18217.160888149239</v>
      </c>
      <c r="C40" s="160">
        <f t="shared" si="7"/>
        <v>-20057.4417769992</v>
      </c>
      <c r="D40" s="160">
        <f t="shared" si="7"/>
        <v>-20767.79236584916</v>
      </c>
      <c r="E40" s="160">
        <f t="shared" si="7"/>
        <v>-21478.14295469912</v>
      </c>
      <c r="F40" s="160">
        <f t="shared" si="7"/>
        <v>-22188.493543549077</v>
      </c>
      <c r="G40" s="160">
        <f t="shared" si="7"/>
        <v>-20057.4417769992</v>
      </c>
      <c r="H40" s="160">
        <f t="shared" si="7"/>
        <v>-22188.493543549077</v>
      </c>
      <c r="I40" s="160">
        <f t="shared" si="7"/>
        <v>-21478.14295469912</v>
      </c>
      <c r="J40" s="160">
        <f t="shared" si="7"/>
        <v>-20767.79236584916</v>
      </c>
      <c r="K40" s="160">
        <f t="shared" si="7"/>
        <v>52811.506456450923</v>
      </c>
      <c r="L40" s="160">
        <f t="shared" si="7"/>
        <v>-20767.79236584916</v>
      </c>
      <c r="M40" s="160">
        <f t="shared" si="7"/>
        <v>-21126.836508699118</v>
      </c>
      <c r="N40" s="160">
        <f t="shared" si="7"/>
        <v>-110484.02458843973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0DC9-F241-9948-BF74-6D54FE2E0CB3}">
  <sheetPr codeName="Sheet28">
    <tabColor rgb="FFFFC000"/>
    <pageSetUpPr fitToPage="1"/>
  </sheetPr>
  <dimension ref="A1:N36"/>
  <sheetViews>
    <sheetView zoomScaleNormal="100" workbookViewId="0">
      <pane xSplit="1" ySplit="7" topLeftCell="B16" activePane="bottomRight" state="frozen"/>
      <selection pane="topRight" activeCell="O33" sqref="O33"/>
      <selection pane="bottomLeft" activeCell="O33" sqref="O33"/>
      <selection pane="bottomRight" activeCell="P29" sqref="P29"/>
    </sheetView>
  </sheetViews>
  <sheetFormatPr defaultRowHeight="15.75" x14ac:dyDescent="0.25"/>
  <cols>
    <col min="1" max="1" width="49" bestFit="1" customWidth="1"/>
    <col min="2" max="13" width="8.125" bestFit="1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112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4" s="169" customFormat="1" x14ac:dyDescent="0.25">
      <c r="A7" s="170" t="s">
        <v>184</v>
      </c>
      <c r="B7" s="171" t="s">
        <v>185</v>
      </c>
      <c r="C7" s="171" t="s">
        <v>185</v>
      </c>
      <c r="D7" s="171" t="s">
        <v>185</v>
      </c>
      <c r="E7" s="171" t="s">
        <v>185</v>
      </c>
      <c r="F7" s="171" t="s">
        <v>185</v>
      </c>
      <c r="G7" s="171" t="s">
        <v>185</v>
      </c>
      <c r="H7" s="171" t="s">
        <v>185</v>
      </c>
      <c r="I7" s="171" t="s">
        <v>185</v>
      </c>
      <c r="J7" s="171" t="s">
        <v>185</v>
      </c>
      <c r="K7" s="171" t="s">
        <v>185</v>
      </c>
      <c r="L7" s="171" t="s">
        <v>185</v>
      </c>
      <c r="M7" s="171" t="s">
        <v>185</v>
      </c>
      <c r="N7" s="171" t="s">
        <v>185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358</v>
      </c>
      <c r="B11" s="165">
        <v>0</v>
      </c>
      <c r="C11" s="165">
        <v>200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f t="shared" ref="N11:N25" si="1">SUM(B11:M11)</f>
        <v>200</v>
      </c>
    </row>
    <row r="12" spans="1:14" x14ac:dyDescent="0.25">
      <c r="A12" s="164" t="s">
        <v>363</v>
      </c>
      <c r="B12" s="165">
        <v>250</v>
      </c>
      <c r="C12" s="165">
        <v>250</v>
      </c>
      <c r="D12" s="165">
        <v>300</v>
      </c>
      <c r="E12" s="165">
        <v>250</v>
      </c>
      <c r="F12" s="165">
        <v>250</v>
      </c>
      <c r="G12" s="165">
        <v>250</v>
      </c>
      <c r="H12" s="165">
        <v>250</v>
      </c>
      <c r="I12" s="165">
        <v>250</v>
      </c>
      <c r="J12" s="165">
        <v>250</v>
      </c>
      <c r="K12" s="165">
        <v>250</v>
      </c>
      <c r="L12" s="165">
        <v>250</v>
      </c>
      <c r="M12" s="165">
        <v>200</v>
      </c>
      <c r="N12" s="165">
        <f t="shared" si="1"/>
        <v>3000</v>
      </c>
    </row>
    <row r="13" spans="1:14" x14ac:dyDescent="0.25">
      <c r="A13" s="164" t="s">
        <v>364</v>
      </c>
      <c r="B13" s="165">
        <v>500</v>
      </c>
      <c r="C13" s="165">
        <v>2500</v>
      </c>
      <c r="D13" s="165">
        <v>2000</v>
      </c>
      <c r="E13" s="165">
        <v>2000</v>
      </c>
      <c r="F13" s="165">
        <v>2000</v>
      </c>
      <c r="G13" s="165">
        <v>1500</v>
      </c>
      <c r="H13" s="165">
        <v>1500</v>
      </c>
      <c r="I13" s="165">
        <v>1500</v>
      </c>
      <c r="J13" s="165">
        <v>1500</v>
      </c>
      <c r="K13" s="165">
        <v>1500</v>
      </c>
      <c r="L13" s="165">
        <v>1000</v>
      </c>
      <c r="M13" s="165">
        <v>1000</v>
      </c>
      <c r="N13" s="165">
        <f t="shared" si="1"/>
        <v>18500</v>
      </c>
    </row>
    <row r="14" spans="1:14" x14ac:dyDescent="0.25">
      <c r="A14" s="164" t="s">
        <v>335</v>
      </c>
      <c r="B14" s="165">
        <v>0</v>
      </c>
      <c r="C14" s="165">
        <v>200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1"/>
        <v>200</v>
      </c>
    </row>
    <row r="15" spans="1:14" x14ac:dyDescent="0.25">
      <c r="A15" s="164" t="s">
        <v>341</v>
      </c>
      <c r="B15" s="165">
        <v>500</v>
      </c>
      <c r="C15" s="165">
        <v>500</v>
      </c>
      <c r="D15" s="165">
        <v>500</v>
      </c>
      <c r="E15" s="165">
        <v>500</v>
      </c>
      <c r="F15" s="165">
        <v>500</v>
      </c>
      <c r="G15" s="165">
        <v>500</v>
      </c>
      <c r="H15" s="165">
        <v>500</v>
      </c>
      <c r="I15" s="165">
        <v>500</v>
      </c>
      <c r="J15" s="165">
        <v>500</v>
      </c>
      <c r="K15" s="165">
        <v>500</v>
      </c>
      <c r="L15" s="165">
        <v>500</v>
      </c>
      <c r="M15" s="165">
        <v>500</v>
      </c>
      <c r="N15" s="165">
        <f t="shared" si="1"/>
        <v>6000</v>
      </c>
    </row>
    <row r="16" spans="1:14" x14ac:dyDescent="0.25">
      <c r="A16" s="164" t="s">
        <v>25</v>
      </c>
      <c r="B16" s="165">
        <v>200</v>
      </c>
      <c r="C16" s="165">
        <v>200</v>
      </c>
      <c r="D16" s="165">
        <v>200</v>
      </c>
      <c r="E16" s="165">
        <v>200</v>
      </c>
      <c r="F16" s="165">
        <v>200</v>
      </c>
      <c r="G16" s="165">
        <v>200</v>
      </c>
      <c r="H16" s="165">
        <v>250</v>
      </c>
      <c r="I16" s="165">
        <v>250</v>
      </c>
      <c r="J16" s="165">
        <v>250</v>
      </c>
      <c r="K16" s="165">
        <v>220</v>
      </c>
      <c r="L16" s="165">
        <v>220</v>
      </c>
      <c r="M16" s="165">
        <v>110</v>
      </c>
      <c r="N16" s="165">
        <f t="shared" si="1"/>
        <v>2500</v>
      </c>
    </row>
    <row r="17" spans="1:14" x14ac:dyDescent="0.25">
      <c r="A17" s="164" t="s">
        <v>206</v>
      </c>
      <c r="B17" s="165">
        <v>125</v>
      </c>
      <c r="C17" s="165">
        <v>125</v>
      </c>
      <c r="D17" s="165">
        <v>125</v>
      </c>
      <c r="E17" s="165">
        <v>125</v>
      </c>
      <c r="F17" s="165">
        <v>125</v>
      </c>
      <c r="G17" s="165">
        <v>125</v>
      </c>
      <c r="H17" s="165">
        <v>125</v>
      </c>
      <c r="I17" s="165">
        <v>125</v>
      </c>
      <c r="J17" s="165">
        <v>125</v>
      </c>
      <c r="K17" s="165">
        <v>125</v>
      </c>
      <c r="L17" s="165">
        <v>125</v>
      </c>
      <c r="M17" s="165">
        <v>125</v>
      </c>
      <c r="N17" s="165">
        <f t="shared" si="1"/>
        <v>1500</v>
      </c>
    </row>
    <row r="18" spans="1:14" x14ac:dyDescent="0.25">
      <c r="A18" s="164" t="s">
        <v>207</v>
      </c>
      <c r="B18" s="165">
        <v>130</v>
      </c>
      <c r="C18" s="165">
        <v>130</v>
      </c>
      <c r="D18" s="165">
        <v>130</v>
      </c>
      <c r="E18" s="165">
        <v>130</v>
      </c>
      <c r="F18" s="165">
        <v>130</v>
      </c>
      <c r="G18" s="165">
        <v>130</v>
      </c>
      <c r="H18" s="165">
        <v>130</v>
      </c>
      <c r="I18" s="165">
        <v>130</v>
      </c>
      <c r="J18" s="165">
        <v>130</v>
      </c>
      <c r="K18" s="165">
        <v>130</v>
      </c>
      <c r="L18" s="165">
        <v>130</v>
      </c>
      <c r="M18" s="165">
        <v>130</v>
      </c>
      <c r="N18" s="165">
        <f t="shared" si="1"/>
        <v>1560</v>
      </c>
    </row>
    <row r="19" spans="1:14" x14ac:dyDescent="0.25">
      <c r="A19" s="164" t="s">
        <v>362</v>
      </c>
      <c r="B19" s="165">
        <v>500</v>
      </c>
      <c r="C19" s="165">
        <v>500</v>
      </c>
      <c r="D19" s="165">
        <v>500</v>
      </c>
      <c r="E19" s="165">
        <v>500</v>
      </c>
      <c r="F19" s="165">
        <v>500</v>
      </c>
      <c r="G19" s="165">
        <v>500</v>
      </c>
      <c r="H19" s="165">
        <v>500</v>
      </c>
      <c r="I19" s="165">
        <v>500</v>
      </c>
      <c r="J19" s="165">
        <v>500</v>
      </c>
      <c r="K19" s="165">
        <v>500</v>
      </c>
      <c r="L19" s="165">
        <v>500</v>
      </c>
      <c r="M19" s="165">
        <v>500</v>
      </c>
      <c r="N19" s="165">
        <f t="shared" si="1"/>
        <v>6000</v>
      </c>
    </row>
    <row r="20" spans="1:14" x14ac:dyDescent="0.25">
      <c r="A20" s="164" t="s">
        <v>208</v>
      </c>
      <c r="B20" s="165">
        <v>100</v>
      </c>
      <c r="C20" s="165">
        <v>100</v>
      </c>
      <c r="D20" s="165">
        <v>100</v>
      </c>
      <c r="E20" s="165">
        <v>100</v>
      </c>
      <c r="F20" s="165">
        <v>100</v>
      </c>
      <c r="G20" s="165">
        <v>100</v>
      </c>
      <c r="H20" s="165">
        <v>100</v>
      </c>
      <c r="I20" s="165">
        <v>100</v>
      </c>
      <c r="J20" s="165">
        <v>100</v>
      </c>
      <c r="K20" s="165">
        <v>100</v>
      </c>
      <c r="L20" s="165">
        <v>100</v>
      </c>
      <c r="M20" s="165">
        <v>100</v>
      </c>
      <c r="N20" s="165">
        <f t="shared" si="1"/>
        <v>1200</v>
      </c>
    </row>
    <row r="21" spans="1:14" x14ac:dyDescent="0.25">
      <c r="A21" s="164" t="s">
        <v>257</v>
      </c>
      <c r="B21" s="165">
        <v>40</v>
      </c>
      <c r="C21" s="165">
        <v>40</v>
      </c>
      <c r="D21" s="165">
        <v>40</v>
      </c>
      <c r="E21" s="165">
        <v>40</v>
      </c>
      <c r="F21" s="165">
        <v>40</v>
      </c>
      <c r="G21" s="165">
        <v>40</v>
      </c>
      <c r="H21" s="165">
        <v>40</v>
      </c>
      <c r="I21" s="165">
        <v>40</v>
      </c>
      <c r="J21" s="165">
        <v>40</v>
      </c>
      <c r="K21" s="165">
        <v>40</v>
      </c>
      <c r="L21" s="165">
        <v>40</v>
      </c>
      <c r="M21" s="165">
        <v>40</v>
      </c>
      <c r="N21" s="165">
        <f t="shared" si="1"/>
        <v>480</v>
      </c>
    </row>
    <row r="22" spans="1:14" x14ac:dyDescent="0.25">
      <c r="A22" s="164" t="s">
        <v>260</v>
      </c>
      <c r="B22" s="165">
        <v>100</v>
      </c>
      <c r="C22" s="165">
        <v>100</v>
      </c>
      <c r="D22" s="165">
        <v>100</v>
      </c>
      <c r="E22" s="165">
        <v>100</v>
      </c>
      <c r="F22" s="165">
        <v>100</v>
      </c>
      <c r="G22" s="165">
        <v>100</v>
      </c>
      <c r="H22" s="165">
        <v>100</v>
      </c>
      <c r="I22" s="165">
        <v>100</v>
      </c>
      <c r="J22" s="165">
        <v>100</v>
      </c>
      <c r="K22" s="165">
        <v>100</v>
      </c>
      <c r="L22" s="165">
        <v>100</v>
      </c>
      <c r="M22" s="165">
        <v>100</v>
      </c>
      <c r="N22" s="165">
        <f t="shared" si="1"/>
        <v>1200</v>
      </c>
    </row>
    <row r="23" spans="1:14" x14ac:dyDescent="0.25">
      <c r="A23" s="229" t="s">
        <v>263</v>
      </c>
      <c r="B23" s="165">
        <v>60</v>
      </c>
      <c r="C23" s="165">
        <v>60</v>
      </c>
      <c r="D23" s="165">
        <v>60</v>
      </c>
      <c r="E23" s="165">
        <v>60</v>
      </c>
      <c r="F23" s="165">
        <v>60</v>
      </c>
      <c r="G23" s="165">
        <v>60</v>
      </c>
      <c r="H23" s="165">
        <v>60</v>
      </c>
      <c r="I23" s="165">
        <v>60</v>
      </c>
      <c r="J23" s="165">
        <v>60</v>
      </c>
      <c r="K23" s="165">
        <v>60</v>
      </c>
      <c r="L23" s="165">
        <v>60</v>
      </c>
      <c r="M23" s="165">
        <v>60</v>
      </c>
      <c r="N23" s="165">
        <f t="shared" si="1"/>
        <v>720</v>
      </c>
    </row>
    <row r="24" spans="1:14" x14ac:dyDescent="0.25">
      <c r="A24" s="164" t="s">
        <v>268</v>
      </c>
      <c r="B24" s="230">
        <v>337.97</v>
      </c>
      <c r="C24" s="230">
        <v>337.97</v>
      </c>
      <c r="D24" s="230">
        <v>337.97</v>
      </c>
      <c r="E24" s="230">
        <v>337.97</v>
      </c>
      <c r="F24" s="230">
        <v>337.97</v>
      </c>
      <c r="G24" s="230">
        <v>337.97</v>
      </c>
      <c r="H24" s="230">
        <v>337.97</v>
      </c>
      <c r="I24" s="230">
        <v>337.97</v>
      </c>
      <c r="J24" s="230">
        <v>337.97</v>
      </c>
      <c r="K24" s="230">
        <v>337.97</v>
      </c>
      <c r="L24" s="230">
        <v>337.97</v>
      </c>
      <c r="M24" s="230">
        <v>337.97</v>
      </c>
      <c r="N24" s="165">
        <f t="shared" si="1"/>
        <v>4055.6400000000012</v>
      </c>
    </row>
    <row r="25" spans="1:14" x14ac:dyDescent="0.25">
      <c r="A25" s="229" t="s">
        <v>365</v>
      </c>
      <c r="B25" s="230">
        <v>0</v>
      </c>
      <c r="C25" s="230">
        <v>0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165">
        <f t="shared" si="1"/>
        <v>0</v>
      </c>
    </row>
    <row r="26" spans="1:14" x14ac:dyDescent="0.25">
      <c r="A26" s="166" t="s">
        <v>190</v>
      </c>
      <c r="B26" s="167">
        <f t="shared" ref="B26:N26" si="2">SUM(B11:B25)</f>
        <v>2842.9700000000003</v>
      </c>
      <c r="C26" s="167">
        <f t="shared" si="2"/>
        <v>5242.97</v>
      </c>
      <c r="D26" s="167">
        <f t="shared" si="2"/>
        <v>4392.97</v>
      </c>
      <c r="E26" s="167">
        <f t="shared" si="2"/>
        <v>4342.97</v>
      </c>
      <c r="F26" s="167">
        <f t="shared" si="2"/>
        <v>4342.97</v>
      </c>
      <c r="G26" s="167">
        <f t="shared" si="2"/>
        <v>3842.9700000000003</v>
      </c>
      <c r="H26" s="167">
        <f t="shared" si="2"/>
        <v>3892.9700000000003</v>
      </c>
      <c r="I26" s="167">
        <f t="shared" si="2"/>
        <v>3892.9700000000003</v>
      </c>
      <c r="J26" s="167">
        <f t="shared" si="2"/>
        <v>3892.9700000000003</v>
      </c>
      <c r="K26" s="167">
        <f t="shared" si="2"/>
        <v>3862.9700000000003</v>
      </c>
      <c r="L26" s="167">
        <f t="shared" si="2"/>
        <v>3362.9700000000003</v>
      </c>
      <c r="M26" s="167">
        <f t="shared" si="2"/>
        <v>3202.9700000000003</v>
      </c>
      <c r="N26" s="167">
        <f t="shared" si="2"/>
        <v>47115.64</v>
      </c>
    </row>
    <row r="27" spans="1:14" x14ac:dyDescent="0.25">
      <c r="A27" s="163" t="s">
        <v>216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4" x14ac:dyDescent="0.25">
      <c r="A28" s="164" t="s">
        <v>217</v>
      </c>
      <c r="B28" s="165">
        <v>27783.907146575872</v>
      </c>
      <c r="C28" s="165">
        <v>29246.218049027233</v>
      </c>
      <c r="D28" s="165">
        <v>30708.528951478595</v>
      </c>
      <c r="E28" s="165">
        <v>32170.839853929956</v>
      </c>
      <c r="F28" s="165">
        <v>33633.150756381321</v>
      </c>
      <c r="G28" s="165">
        <v>29246.218049027233</v>
      </c>
      <c r="H28" s="165">
        <v>33633.150756381321</v>
      </c>
      <c r="I28" s="165">
        <v>32170.839853929956</v>
      </c>
      <c r="J28" s="165">
        <v>30708.528951478595</v>
      </c>
      <c r="K28" s="165">
        <v>33633.150756381321</v>
      </c>
      <c r="L28" s="165">
        <v>30708.528951478595</v>
      </c>
      <c r="M28" s="165">
        <v>37580.839476429952</v>
      </c>
      <c r="N28" s="165">
        <f t="shared" ref="N28:N32" si="3">SUM(B28:M28)</f>
        <v>381223.90155249997</v>
      </c>
    </row>
    <row r="29" spans="1:14" x14ac:dyDescent="0.25">
      <c r="A29" s="164" t="s">
        <v>218</v>
      </c>
      <c r="B29" s="165">
        <v>5733.0898348819819</v>
      </c>
      <c r="C29" s="165">
        <v>6034.8314051389279</v>
      </c>
      <c r="D29" s="165">
        <v>6336.5729753958749</v>
      </c>
      <c r="E29" s="165">
        <v>6638.3145456528209</v>
      </c>
      <c r="F29" s="165">
        <v>6940.0561159097679</v>
      </c>
      <c r="G29" s="165">
        <v>6034.8314051389279</v>
      </c>
      <c r="H29" s="165">
        <v>6940.0561159097679</v>
      </c>
      <c r="I29" s="165">
        <v>6638.3145456528209</v>
      </c>
      <c r="J29" s="165">
        <v>6336.5729753958749</v>
      </c>
      <c r="K29" s="165">
        <v>6940.0561159097679</v>
      </c>
      <c r="L29" s="165">
        <v>6336.5729753958749</v>
      </c>
      <c r="M29" s="165">
        <v>6638.3145456528209</v>
      </c>
      <c r="N29" s="165">
        <f t="shared" si="3"/>
        <v>77547.583556035228</v>
      </c>
    </row>
    <row r="30" spans="1:14" x14ac:dyDescent="0.25">
      <c r="A30" s="164" t="s">
        <v>219</v>
      </c>
      <c r="B30" s="165">
        <v>294.40191043988551</v>
      </c>
      <c r="C30" s="165">
        <v>309.89674783145841</v>
      </c>
      <c r="D30" s="165">
        <v>325.39158522303137</v>
      </c>
      <c r="E30" s="165">
        <v>340.88642261460427</v>
      </c>
      <c r="F30" s="165">
        <v>356.38126000617717</v>
      </c>
      <c r="G30" s="165">
        <v>309.89674783145841</v>
      </c>
      <c r="H30" s="165">
        <v>356.38126000617717</v>
      </c>
      <c r="I30" s="165">
        <v>340.88642261460427</v>
      </c>
      <c r="J30" s="165">
        <v>325.39158522303137</v>
      </c>
      <c r="K30" s="165">
        <v>356.38126000617717</v>
      </c>
      <c r="L30" s="165">
        <v>325.39158522303137</v>
      </c>
      <c r="M30" s="165">
        <v>340.88642261460427</v>
      </c>
      <c r="N30" s="165">
        <f t="shared" si="3"/>
        <v>3982.1732096342412</v>
      </c>
    </row>
    <row r="31" spans="1:14" x14ac:dyDescent="0.25">
      <c r="A31" s="164" t="s">
        <v>220</v>
      </c>
      <c r="B31" s="165">
        <v>3297.1540579055718</v>
      </c>
      <c r="C31" s="165">
        <v>2643.3367977953385</v>
      </c>
      <c r="D31" s="165">
        <v>2775.5036376851053</v>
      </c>
      <c r="E31" s="165">
        <v>2907.6704775748722</v>
      </c>
      <c r="F31" s="165">
        <v>3039.837317464639</v>
      </c>
      <c r="G31" s="165">
        <v>2643.3367977953385</v>
      </c>
      <c r="H31" s="165">
        <v>3039.837317464639</v>
      </c>
      <c r="I31" s="165">
        <v>2907.6704775748722</v>
      </c>
      <c r="J31" s="165">
        <v>2775.5036376851053</v>
      </c>
      <c r="K31" s="165">
        <v>3039.837317464639</v>
      </c>
      <c r="L31" s="165">
        <v>2775.5036376851053</v>
      </c>
      <c r="M31" s="165">
        <v>2907.6704775748722</v>
      </c>
      <c r="N31" s="165">
        <f t="shared" si="3"/>
        <v>34752.8619516701</v>
      </c>
    </row>
    <row r="32" spans="1:14" x14ac:dyDescent="0.25">
      <c r="A32" s="164" t="s">
        <v>221</v>
      </c>
      <c r="B32" s="165">
        <v>1449.1186786643971</v>
      </c>
      <c r="C32" s="165">
        <v>731.15545122568108</v>
      </c>
      <c r="D32" s="165">
        <v>767.71322378696516</v>
      </c>
      <c r="E32" s="165">
        <v>804.27099634824913</v>
      </c>
      <c r="F32" s="165">
        <v>840.82876890953321</v>
      </c>
      <c r="G32" s="165">
        <v>731.15545122568108</v>
      </c>
      <c r="H32" s="165">
        <v>840.82876890953321</v>
      </c>
      <c r="I32" s="165">
        <v>804.27099634824913</v>
      </c>
      <c r="J32" s="165">
        <v>767.71322378696516</v>
      </c>
      <c r="K32" s="165">
        <v>840.82876890953321</v>
      </c>
      <c r="L32" s="165">
        <v>767.71322378696516</v>
      </c>
      <c r="M32" s="165">
        <v>804.27099634824913</v>
      </c>
      <c r="N32" s="165">
        <f t="shared" si="3"/>
        <v>10149.86854825</v>
      </c>
    </row>
    <row r="33" spans="1:14" x14ac:dyDescent="0.25">
      <c r="A33" s="166" t="s">
        <v>222</v>
      </c>
      <c r="B33" s="167">
        <f t="shared" ref="B33:N33" si="4">SUM(B28:B32)</f>
        <v>38557.671628467702</v>
      </c>
      <c r="C33" s="167">
        <f t="shared" si="4"/>
        <v>38965.438451018643</v>
      </c>
      <c r="D33" s="167">
        <f t="shared" si="4"/>
        <v>40913.710373569578</v>
      </c>
      <c r="E33" s="167">
        <f t="shared" si="4"/>
        <v>42861.982296120499</v>
      </c>
      <c r="F33" s="167">
        <f t="shared" si="4"/>
        <v>44810.254218671442</v>
      </c>
      <c r="G33" s="167">
        <f t="shared" si="4"/>
        <v>38965.438451018643</v>
      </c>
      <c r="H33" s="167">
        <f t="shared" si="4"/>
        <v>44810.254218671442</v>
      </c>
      <c r="I33" s="167">
        <f t="shared" si="4"/>
        <v>42861.982296120499</v>
      </c>
      <c r="J33" s="167">
        <f t="shared" si="4"/>
        <v>40913.710373569578</v>
      </c>
      <c r="K33" s="167">
        <f t="shared" si="4"/>
        <v>44810.254218671442</v>
      </c>
      <c r="L33" s="167">
        <f t="shared" si="4"/>
        <v>40913.710373569578</v>
      </c>
      <c r="M33" s="167">
        <f t="shared" si="4"/>
        <v>48271.981918620499</v>
      </c>
      <c r="N33" s="167">
        <f t="shared" si="4"/>
        <v>507656.38881808956</v>
      </c>
    </row>
    <row r="34" spans="1:14" x14ac:dyDescent="0.25">
      <c r="A34" s="168" t="s">
        <v>191</v>
      </c>
      <c r="B34" s="167">
        <f t="shared" ref="B34:N34" si="5">SUM(B26,B33)</f>
        <v>41400.641628467703</v>
      </c>
      <c r="C34" s="167">
        <f t="shared" si="5"/>
        <v>44208.408451018644</v>
      </c>
      <c r="D34" s="167">
        <f t="shared" si="5"/>
        <v>45306.680373569579</v>
      </c>
      <c r="E34" s="167">
        <f t="shared" si="5"/>
        <v>47204.9522961205</v>
      </c>
      <c r="F34" s="167">
        <f t="shared" si="5"/>
        <v>49153.224218671443</v>
      </c>
      <c r="G34" s="167">
        <f t="shared" si="5"/>
        <v>42808.408451018644</v>
      </c>
      <c r="H34" s="167">
        <f t="shared" si="5"/>
        <v>48703.224218671443</v>
      </c>
      <c r="I34" s="167">
        <f t="shared" si="5"/>
        <v>46754.9522961205</v>
      </c>
      <c r="J34" s="167">
        <f t="shared" si="5"/>
        <v>44806.680373569579</v>
      </c>
      <c r="K34" s="167">
        <f t="shared" si="5"/>
        <v>48673.224218671443</v>
      </c>
      <c r="L34" s="167">
        <f t="shared" si="5"/>
        <v>44276.680373569579</v>
      </c>
      <c r="M34" s="167">
        <f t="shared" si="5"/>
        <v>51474.9519186205</v>
      </c>
      <c r="N34" s="167">
        <f t="shared" si="5"/>
        <v>554772.02881808951</v>
      </c>
    </row>
    <row r="35" spans="1:14" x14ac:dyDescent="0.25">
      <c r="A35" s="159" t="s">
        <v>192</v>
      </c>
      <c r="B35" s="160">
        <f t="shared" ref="B35:N35" si="6">B8-B34</f>
        <v>-41400.641628467703</v>
      </c>
      <c r="C35" s="160">
        <f t="shared" si="6"/>
        <v>-44208.408451018644</v>
      </c>
      <c r="D35" s="160">
        <f t="shared" si="6"/>
        <v>-45306.680373569579</v>
      </c>
      <c r="E35" s="160">
        <f t="shared" si="6"/>
        <v>-47204.9522961205</v>
      </c>
      <c r="F35" s="160">
        <f t="shared" si="6"/>
        <v>-49153.224218671443</v>
      </c>
      <c r="G35" s="160">
        <f t="shared" si="6"/>
        <v>-42808.408451018644</v>
      </c>
      <c r="H35" s="160">
        <f t="shared" si="6"/>
        <v>-48703.224218671443</v>
      </c>
      <c r="I35" s="160">
        <f t="shared" si="6"/>
        <v>-46754.9522961205</v>
      </c>
      <c r="J35" s="160">
        <f t="shared" si="6"/>
        <v>-44806.680373569579</v>
      </c>
      <c r="K35" s="160">
        <f t="shared" si="6"/>
        <v>-48673.224218671443</v>
      </c>
      <c r="L35" s="160">
        <f t="shared" si="6"/>
        <v>-44276.680373569579</v>
      </c>
      <c r="M35" s="160">
        <f t="shared" si="6"/>
        <v>-51474.9519186205</v>
      </c>
      <c r="N35" s="160">
        <f t="shared" si="6"/>
        <v>-554772.02881808951</v>
      </c>
    </row>
    <row r="36" spans="1:14" x14ac:dyDescent="0.25">
      <c r="A36" s="159" t="s">
        <v>29</v>
      </c>
      <c r="B36" s="160">
        <f t="shared" ref="B36:N36" si="7">B35+0+0</f>
        <v>-41400.641628467703</v>
      </c>
      <c r="C36" s="160">
        <f t="shared" si="7"/>
        <v>-44208.408451018644</v>
      </c>
      <c r="D36" s="160">
        <f t="shared" si="7"/>
        <v>-45306.680373569579</v>
      </c>
      <c r="E36" s="160">
        <f t="shared" si="7"/>
        <v>-47204.9522961205</v>
      </c>
      <c r="F36" s="160">
        <f t="shared" si="7"/>
        <v>-49153.224218671443</v>
      </c>
      <c r="G36" s="160">
        <f t="shared" si="7"/>
        <v>-42808.408451018644</v>
      </c>
      <c r="H36" s="160">
        <f t="shared" si="7"/>
        <v>-48703.224218671443</v>
      </c>
      <c r="I36" s="160">
        <f t="shared" si="7"/>
        <v>-46754.9522961205</v>
      </c>
      <c r="J36" s="160">
        <f t="shared" si="7"/>
        <v>-44806.680373569579</v>
      </c>
      <c r="K36" s="160">
        <f t="shared" si="7"/>
        <v>-48673.224218671443</v>
      </c>
      <c r="L36" s="160">
        <f t="shared" si="7"/>
        <v>-44276.680373569579</v>
      </c>
      <c r="M36" s="160">
        <f t="shared" si="7"/>
        <v>-51474.9519186205</v>
      </c>
      <c r="N36" s="160">
        <f t="shared" si="7"/>
        <v>-554772.02881808951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4C1F-D625-8F48-974F-7355A1C69D02}">
  <sheetPr codeName="Sheet29">
    <tabColor rgb="FFFFC000"/>
    <pageSetUpPr fitToPage="1"/>
  </sheetPr>
  <dimension ref="A1:R56"/>
  <sheetViews>
    <sheetView topLeftCell="A15" zoomScaleNormal="100" workbookViewId="0">
      <selection activeCell="S38" sqref="S38"/>
    </sheetView>
  </sheetViews>
  <sheetFormatPr defaultRowHeight="15.75" x14ac:dyDescent="0.25"/>
  <cols>
    <col min="1" max="1" width="49" bestFit="1" customWidth="1"/>
    <col min="2" max="2" width="8.125" customWidth="1"/>
    <col min="3" max="3" width="8.875" customWidth="1"/>
    <col min="4" max="13" width="8.125" customWidth="1"/>
    <col min="14" max="14" width="8.875" bestFit="1" customWidth="1"/>
    <col min="15" max="15" width="10.875" hidden="1" customWidth="1"/>
    <col min="16" max="16" width="9.875" hidden="1" customWidth="1"/>
    <col min="17" max="17" width="10.5" hidden="1" customWidth="1"/>
    <col min="18" max="18" width="9" style="227"/>
    <col min="19" max="19" width="8.25" bestFit="1" customWidth="1"/>
  </cols>
  <sheetData>
    <row r="1" spans="1:18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8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8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8" ht="18" x14ac:dyDescent="0.25">
      <c r="A4" s="372" t="s">
        <v>114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8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8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/>
    </row>
    <row r="7" spans="1:18" s="169" customFormat="1" ht="14.25" customHeight="1" x14ac:dyDescent="0.25">
      <c r="A7" s="170" t="s">
        <v>184</v>
      </c>
      <c r="B7" s="171" t="s">
        <v>185</v>
      </c>
      <c r="C7" s="171" t="s">
        <v>185</v>
      </c>
      <c r="D7" s="171" t="s">
        <v>185</v>
      </c>
      <c r="E7" s="171" t="s">
        <v>185</v>
      </c>
      <c r="F7" s="171" t="s">
        <v>185</v>
      </c>
      <c r="G7" s="171" t="s">
        <v>185</v>
      </c>
      <c r="H7" s="171" t="s">
        <v>185</v>
      </c>
      <c r="I7" s="171" t="s">
        <v>185</v>
      </c>
      <c r="J7" s="171" t="s">
        <v>185</v>
      </c>
      <c r="K7" s="171" t="s">
        <v>185</v>
      </c>
      <c r="L7" s="171" t="s">
        <v>185</v>
      </c>
      <c r="M7" s="171" t="s">
        <v>185</v>
      </c>
      <c r="N7" s="171" t="s">
        <v>46</v>
      </c>
      <c r="O7" s="285" t="s">
        <v>291</v>
      </c>
      <c r="P7" s="285" t="s">
        <v>366</v>
      </c>
      <c r="Q7" s="285" t="s">
        <v>367</v>
      </c>
      <c r="R7" s="286"/>
    </row>
    <row r="8" spans="1:18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8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8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8" x14ac:dyDescent="0.25">
      <c r="A11" s="164" t="s">
        <v>358</v>
      </c>
      <c r="B11" s="165">
        <v>0</v>
      </c>
      <c r="C11" s="165">
        <v>4500</v>
      </c>
      <c r="D11" s="165">
        <v>0</v>
      </c>
      <c r="E11" s="165">
        <v>0</v>
      </c>
      <c r="F11" s="165">
        <v>0</v>
      </c>
      <c r="G11" s="165">
        <v>0</v>
      </c>
      <c r="H11" s="165">
        <v>3500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f t="shared" ref="N11:N26" si="1">SUM(B11:M11)</f>
        <v>8000</v>
      </c>
      <c r="O11" s="165">
        <v>10000</v>
      </c>
      <c r="P11" s="173">
        <f>N11-O11</f>
        <v>-2000</v>
      </c>
      <c r="Q11" s="165">
        <v>8000</v>
      </c>
    </row>
    <row r="12" spans="1:18" x14ac:dyDescent="0.25">
      <c r="A12" s="164" t="s">
        <v>368</v>
      </c>
      <c r="B12" s="165">
        <v>0</v>
      </c>
      <c r="C12" s="165">
        <v>5000</v>
      </c>
      <c r="D12" s="165">
        <v>28500</v>
      </c>
      <c r="E12" s="165">
        <v>1500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si="1"/>
        <v>35000</v>
      </c>
      <c r="O12" s="165">
        <v>35000</v>
      </c>
      <c r="P12" s="173">
        <f t="shared" ref="P12:P45" si="2">N12-O12</f>
        <v>0</v>
      </c>
      <c r="Q12" s="165">
        <v>35000</v>
      </c>
    </row>
    <row r="13" spans="1:18" x14ac:dyDescent="0.25">
      <c r="A13" s="164" t="s">
        <v>369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5000</v>
      </c>
      <c r="K13" s="165">
        <v>32000</v>
      </c>
      <c r="L13" s="165">
        <v>0</v>
      </c>
      <c r="M13" s="165">
        <v>0</v>
      </c>
      <c r="N13" s="165">
        <f t="shared" si="1"/>
        <v>37000</v>
      </c>
      <c r="O13" s="165">
        <v>37000</v>
      </c>
      <c r="P13" s="173">
        <f t="shared" si="2"/>
        <v>0</v>
      </c>
      <c r="Q13" s="165">
        <v>37000</v>
      </c>
    </row>
    <row r="14" spans="1:18" x14ac:dyDescent="0.25">
      <c r="A14" s="164" t="s">
        <v>335</v>
      </c>
      <c r="B14" s="165">
        <v>5000</v>
      </c>
      <c r="C14" s="165">
        <v>60000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1"/>
        <v>65000</v>
      </c>
      <c r="O14" s="165">
        <v>65000</v>
      </c>
      <c r="P14" s="173">
        <f t="shared" si="2"/>
        <v>0</v>
      </c>
      <c r="Q14" s="165">
        <v>65000</v>
      </c>
    </row>
    <row r="15" spans="1:18" x14ac:dyDescent="0.25">
      <c r="A15" s="164" t="s">
        <v>341</v>
      </c>
      <c r="B15" s="165">
        <v>1000</v>
      </c>
      <c r="C15" s="165">
        <v>0</v>
      </c>
      <c r="D15" s="165">
        <v>1000</v>
      </c>
      <c r="E15" s="165">
        <v>1000</v>
      </c>
      <c r="F15" s="165">
        <v>1000</v>
      </c>
      <c r="G15" s="165">
        <v>1000</v>
      </c>
      <c r="H15" s="165">
        <v>1000</v>
      </c>
      <c r="I15" s="165">
        <v>1000</v>
      </c>
      <c r="J15" s="165">
        <v>1000</v>
      </c>
      <c r="K15" s="165">
        <v>1000</v>
      </c>
      <c r="L15" s="165">
        <v>2000</v>
      </c>
      <c r="M15" s="165">
        <v>0</v>
      </c>
      <c r="N15" s="165">
        <f t="shared" si="1"/>
        <v>11000</v>
      </c>
      <c r="O15" s="165">
        <v>9000</v>
      </c>
      <c r="P15" s="173">
        <f t="shared" si="2"/>
        <v>2000</v>
      </c>
      <c r="Q15" s="165">
        <v>11000</v>
      </c>
    </row>
    <row r="16" spans="1:18" x14ac:dyDescent="0.25">
      <c r="A16" s="164" t="s">
        <v>370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6250</v>
      </c>
      <c r="H16" s="165">
        <v>0</v>
      </c>
      <c r="I16" s="165">
        <v>0</v>
      </c>
      <c r="J16" s="165">
        <v>0</v>
      </c>
      <c r="K16" s="165">
        <v>0</v>
      </c>
      <c r="L16" s="165">
        <v>6250</v>
      </c>
      <c r="M16" s="165">
        <v>0</v>
      </c>
      <c r="N16" s="165">
        <f t="shared" si="1"/>
        <v>12500</v>
      </c>
      <c r="O16" s="165">
        <v>10000</v>
      </c>
      <c r="P16" s="173">
        <f t="shared" si="2"/>
        <v>2500</v>
      </c>
      <c r="Q16" s="165">
        <v>12500</v>
      </c>
    </row>
    <row r="17" spans="1:17" x14ac:dyDescent="0.25">
      <c r="A17" s="164" t="s">
        <v>371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f t="shared" si="1"/>
        <v>0</v>
      </c>
      <c r="O17" s="165">
        <v>5000</v>
      </c>
      <c r="P17" s="173">
        <f t="shared" si="2"/>
        <v>-5000</v>
      </c>
      <c r="Q17" s="165">
        <v>5000</v>
      </c>
    </row>
    <row r="18" spans="1:17" x14ac:dyDescent="0.25">
      <c r="A18" s="164" t="s">
        <v>206</v>
      </c>
      <c r="B18" s="165">
        <v>25</v>
      </c>
      <c r="C18" s="165">
        <v>25</v>
      </c>
      <c r="D18" s="165">
        <v>25</v>
      </c>
      <c r="E18" s="165">
        <v>25</v>
      </c>
      <c r="F18" s="165">
        <v>25</v>
      </c>
      <c r="G18" s="165">
        <v>25</v>
      </c>
      <c r="H18" s="165">
        <v>25</v>
      </c>
      <c r="I18" s="165">
        <v>25</v>
      </c>
      <c r="J18" s="165">
        <v>25</v>
      </c>
      <c r="K18" s="165">
        <v>25</v>
      </c>
      <c r="L18" s="165">
        <v>25</v>
      </c>
      <c r="M18" s="165">
        <v>25</v>
      </c>
      <c r="N18" s="165">
        <f t="shared" si="1"/>
        <v>300</v>
      </c>
      <c r="O18" s="165">
        <v>1200</v>
      </c>
      <c r="P18" s="173">
        <f t="shared" si="2"/>
        <v>-900</v>
      </c>
      <c r="Q18" s="165">
        <v>1200</v>
      </c>
    </row>
    <row r="19" spans="1:17" x14ac:dyDescent="0.25">
      <c r="A19" s="164" t="s">
        <v>207</v>
      </c>
      <c r="B19" s="165">
        <v>45</v>
      </c>
      <c r="C19" s="165">
        <v>45</v>
      </c>
      <c r="D19" s="165">
        <v>45</v>
      </c>
      <c r="E19" s="165">
        <v>45</v>
      </c>
      <c r="F19" s="165">
        <v>45</v>
      </c>
      <c r="G19" s="165">
        <v>45</v>
      </c>
      <c r="H19" s="165">
        <v>45</v>
      </c>
      <c r="I19" s="165">
        <v>45</v>
      </c>
      <c r="J19" s="165">
        <v>45</v>
      </c>
      <c r="K19" s="165">
        <v>45</v>
      </c>
      <c r="L19" s="165">
        <v>45</v>
      </c>
      <c r="M19" s="165">
        <v>45</v>
      </c>
      <c r="N19" s="165">
        <f t="shared" si="1"/>
        <v>540</v>
      </c>
      <c r="O19" s="165">
        <v>780</v>
      </c>
      <c r="P19" s="173">
        <f t="shared" si="2"/>
        <v>-240</v>
      </c>
      <c r="Q19" s="165">
        <v>780</v>
      </c>
    </row>
    <row r="20" spans="1:17" x14ac:dyDescent="0.25">
      <c r="A20" s="164" t="s">
        <v>208</v>
      </c>
      <c r="B20" s="165">
        <v>40</v>
      </c>
      <c r="C20" s="165">
        <v>40</v>
      </c>
      <c r="D20" s="165">
        <v>40</v>
      </c>
      <c r="E20" s="165">
        <v>40</v>
      </c>
      <c r="F20" s="165">
        <v>40</v>
      </c>
      <c r="G20" s="165">
        <v>40</v>
      </c>
      <c r="H20" s="165">
        <v>40</v>
      </c>
      <c r="I20" s="165">
        <v>40</v>
      </c>
      <c r="J20" s="165">
        <v>40</v>
      </c>
      <c r="K20" s="165">
        <v>40</v>
      </c>
      <c r="L20" s="165">
        <v>40</v>
      </c>
      <c r="M20" s="165">
        <v>40</v>
      </c>
      <c r="N20" s="165">
        <f t="shared" si="1"/>
        <v>480</v>
      </c>
      <c r="O20" s="165">
        <v>480</v>
      </c>
      <c r="P20" s="173">
        <f t="shared" si="2"/>
        <v>0</v>
      </c>
      <c r="Q20" s="165">
        <v>480</v>
      </c>
    </row>
    <row r="21" spans="1:17" x14ac:dyDescent="0.25">
      <c r="A21" s="164" t="s">
        <v>257</v>
      </c>
      <c r="B21" s="165">
        <v>0</v>
      </c>
      <c r="C21" s="165">
        <v>300</v>
      </c>
      <c r="D21" s="165">
        <v>300</v>
      </c>
      <c r="E21" s="165">
        <v>300</v>
      </c>
      <c r="F21" s="165">
        <v>300</v>
      </c>
      <c r="G21" s="165">
        <v>300</v>
      </c>
      <c r="H21" s="165">
        <v>300</v>
      </c>
      <c r="I21" s="165">
        <v>300</v>
      </c>
      <c r="J21" s="165">
        <v>300</v>
      </c>
      <c r="K21" s="165">
        <v>300</v>
      </c>
      <c r="L21" s="165">
        <v>300</v>
      </c>
      <c r="M21" s="165">
        <v>0</v>
      </c>
      <c r="N21" s="165">
        <f t="shared" si="1"/>
        <v>3000</v>
      </c>
      <c r="O21" s="165">
        <v>3000</v>
      </c>
      <c r="P21" s="173">
        <f t="shared" si="2"/>
        <v>0</v>
      </c>
      <c r="Q21" s="165">
        <v>3000</v>
      </c>
    </row>
    <row r="22" spans="1:17" x14ac:dyDescent="0.25">
      <c r="A22" s="164" t="s">
        <v>260</v>
      </c>
      <c r="B22" s="165">
        <v>50</v>
      </c>
      <c r="C22" s="165">
        <v>50</v>
      </c>
      <c r="D22" s="165">
        <v>50</v>
      </c>
      <c r="E22" s="165">
        <v>50</v>
      </c>
      <c r="F22" s="165">
        <v>50</v>
      </c>
      <c r="G22" s="165">
        <v>50</v>
      </c>
      <c r="H22" s="165">
        <v>50</v>
      </c>
      <c r="I22" s="165">
        <v>50</v>
      </c>
      <c r="J22" s="165">
        <v>50</v>
      </c>
      <c r="K22" s="165">
        <v>50</v>
      </c>
      <c r="L22" s="165">
        <v>50</v>
      </c>
      <c r="M22" s="165">
        <v>50</v>
      </c>
      <c r="N22" s="165">
        <f t="shared" si="1"/>
        <v>600</v>
      </c>
      <c r="O22" s="165">
        <v>600</v>
      </c>
      <c r="P22" s="173">
        <f t="shared" si="2"/>
        <v>0</v>
      </c>
      <c r="Q22" s="165">
        <v>600</v>
      </c>
    </row>
    <row r="23" spans="1:17" x14ac:dyDescent="0.25">
      <c r="A23" s="229" t="s">
        <v>263</v>
      </c>
      <c r="B23" s="165">
        <v>40</v>
      </c>
      <c r="C23" s="165">
        <v>40</v>
      </c>
      <c r="D23" s="165">
        <v>40</v>
      </c>
      <c r="E23" s="165">
        <v>40</v>
      </c>
      <c r="F23" s="165">
        <v>40</v>
      </c>
      <c r="G23" s="165">
        <v>40</v>
      </c>
      <c r="H23" s="165">
        <v>40</v>
      </c>
      <c r="I23" s="165">
        <v>40</v>
      </c>
      <c r="J23" s="165">
        <v>1400</v>
      </c>
      <c r="K23" s="165">
        <v>1250</v>
      </c>
      <c r="L23" s="165">
        <v>40</v>
      </c>
      <c r="M23" s="165">
        <v>40</v>
      </c>
      <c r="N23" s="165">
        <f t="shared" si="1"/>
        <v>3050</v>
      </c>
      <c r="O23" s="165"/>
      <c r="P23" s="173"/>
      <c r="Q23" s="165"/>
    </row>
    <row r="24" spans="1:17" x14ac:dyDescent="0.25">
      <c r="A24" s="164" t="s">
        <v>320</v>
      </c>
      <c r="B24" s="165">
        <v>0</v>
      </c>
      <c r="C24" s="165">
        <v>300</v>
      </c>
      <c r="D24" s="165">
        <v>300</v>
      </c>
      <c r="E24" s="165">
        <v>300</v>
      </c>
      <c r="F24" s="165">
        <v>300</v>
      </c>
      <c r="G24" s="165">
        <v>300</v>
      </c>
      <c r="H24" s="165">
        <v>300</v>
      </c>
      <c r="I24" s="165">
        <v>300</v>
      </c>
      <c r="J24" s="165">
        <v>300</v>
      </c>
      <c r="K24" s="165">
        <v>300</v>
      </c>
      <c r="L24" s="165">
        <v>300</v>
      </c>
      <c r="M24" s="165">
        <v>0</v>
      </c>
      <c r="N24" s="165">
        <f t="shared" si="1"/>
        <v>3000</v>
      </c>
      <c r="O24" s="165">
        <v>3000</v>
      </c>
      <c r="P24" s="173">
        <f t="shared" si="2"/>
        <v>0</v>
      </c>
      <c r="Q24" s="165">
        <v>3000</v>
      </c>
    </row>
    <row r="25" spans="1:17" x14ac:dyDescent="0.25">
      <c r="A25" s="164" t="s">
        <v>213</v>
      </c>
      <c r="B25" s="165">
        <v>0</v>
      </c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f t="shared" si="1"/>
        <v>0</v>
      </c>
      <c r="P25" s="173">
        <f t="shared" si="2"/>
        <v>0</v>
      </c>
    </row>
    <row r="26" spans="1:17" x14ac:dyDescent="0.25">
      <c r="A26" s="164" t="s">
        <v>268</v>
      </c>
      <c r="B26" s="165">
        <v>150.77000000000001</v>
      </c>
      <c r="C26" s="165">
        <v>150.77000000000001</v>
      </c>
      <c r="D26" s="165">
        <v>150.77000000000001</v>
      </c>
      <c r="E26" s="165">
        <v>150.77000000000001</v>
      </c>
      <c r="F26" s="165">
        <v>150.77000000000001</v>
      </c>
      <c r="G26" s="165">
        <v>150.77000000000001</v>
      </c>
      <c r="H26" s="165">
        <v>150.77000000000001</v>
      </c>
      <c r="I26" s="165">
        <v>150.77000000000001</v>
      </c>
      <c r="J26" s="165">
        <v>150.77000000000001</v>
      </c>
      <c r="K26" s="165">
        <v>150.77000000000001</v>
      </c>
      <c r="L26" s="165">
        <v>150.77000000000001</v>
      </c>
      <c r="M26" s="165">
        <v>150.77000000000001</v>
      </c>
      <c r="N26" s="165">
        <f t="shared" si="1"/>
        <v>1809.24</v>
      </c>
      <c r="P26" s="173">
        <f t="shared" si="2"/>
        <v>1809.24</v>
      </c>
    </row>
    <row r="27" spans="1:17" x14ac:dyDescent="0.25">
      <c r="A27" s="166" t="s">
        <v>190</v>
      </c>
      <c r="B27" s="167">
        <f t="shared" ref="B27:N27" si="3">SUM(B11:B26)</f>
        <v>6350.77</v>
      </c>
      <c r="C27" s="167">
        <f t="shared" si="3"/>
        <v>70450.77</v>
      </c>
      <c r="D27" s="167">
        <f t="shared" si="3"/>
        <v>30450.77</v>
      </c>
      <c r="E27" s="167">
        <f t="shared" si="3"/>
        <v>3450.77</v>
      </c>
      <c r="F27" s="167">
        <f t="shared" si="3"/>
        <v>1950.77</v>
      </c>
      <c r="G27" s="167">
        <f t="shared" si="3"/>
        <v>8200.77</v>
      </c>
      <c r="H27" s="167">
        <f t="shared" si="3"/>
        <v>5450.77</v>
      </c>
      <c r="I27" s="167">
        <f t="shared" si="3"/>
        <v>1950.77</v>
      </c>
      <c r="J27" s="167">
        <f t="shared" si="3"/>
        <v>8310.77</v>
      </c>
      <c r="K27" s="167">
        <f t="shared" si="3"/>
        <v>35160.769999999997</v>
      </c>
      <c r="L27" s="167">
        <f t="shared" si="3"/>
        <v>9200.77</v>
      </c>
      <c r="M27" s="167">
        <f t="shared" si="3"/>
        <v>350.77</v>
      </c>
      <c r="N27" s="167">
        <f t="shared" si="3"/>
        <v>181279.24</v>
      </c>
      <c r="O27" s="173">
        <f>SUM(O11:O26)</f>
        <v>180060</v>
      </c>
      <c r="P27" s="173">
        <f t="shared" si="2"/>
        <v>1219.2399999999907</v>
      </c>
      <c r="Q27" s="162">
        <f>SUM(Q9:Q26)</f>
        <v>182560</v>
      </c>
    </row>
    <row r="28" spans="1:17" x14ac:dyDescent="0.25">
      <c r="A28" s="163" t="s">
        <v>216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P28" s="173"/>
    </row>
    <row r="29" spans="1:17" x14ac:dyDescent="0.25">
      <c r="A29" s="164" t="s">
        <v>217</v>
      </c>
      <c r="B29" s="165">
        <v>15334.420337237354</v>
      </c>
      <c r="C29" s="165">
        <v>16141.495091828794</v>
      </c>
      <c r="D29" s="165">
        <v>16948.569846420232</v>
      </c>
      <c r="E29" s="165">
        <v>17755.644601011674</v>
      </c>
      <c r="F29" s="165">
        <v>18562.719355603112</v>
      </c>
      <c r="G29" s="165">
        <v>16141.495091828794</v>
      </c>
      <c r="H29" s="165">
        <v>18562.719355603112</v>
      </c>
      <c r="I29" s="165">
        <v>17755.644601011674</v>
      </c>
      <c r="J29" s="165">
        <v>16948.569846420232</v>
      </c>
      <c r="K29" s="165">
        <v>18562.719355603112</v>
      </c>
      <c r="L29" s="165">
        <v>16948.569846420232</v>
      </c>
      <c r="M29" s="165">
        <v>20499.776878761677</v>
      </c>
      <c r="N29" s="165">
        <f t="shared" ref="N29:N34" si="4">SUM(B29:M29)</f>
        <v>210162.34420774999</v>
      </c>
      <c r="P29" s="173"/>
      <c r="Q29" s="165">
        <v>156518.55006450001</v>
      </c>
    </row>
    <row r="30" spans="1:17" x14ac:dyDescent="0.25">
      <c r="A30" s="164" t="s">
        <v>269</v>
      </c>
      <c r="B30" s="165">
        <v>250</v>
      </c>
      <c r="C30" s="165">
        <v>3000</v>
      </c>
      <c r="D30" s="165">
        <v>2500</v>
      </c>
      <c r="E30" s="165">
        <v>50</v>
      </c>
      <c r="F30" s="165">
        <v>150</v>
      </c>
      <c r="G30" s="165">
        <v>200</v>
      </c>
      <c r="H30" s="165">
        <v>50</v>
      </c>
      <c r="I30" s="165">
        <v>75</v>
      </c>
      <c r="J30" s="165">
        <v>75</v>
      </c>
      <c r="K30" s="165">
        <v>50</v>
      </c>
      <c r="L30" s="165">
        <v>25</v>
      </c>
      <c r="M30" s="165">
        <v>0</v>
      </c>
      <c r="N30" s="165">
        <f t="shared" si="4"/>
        <v>6425</v>
      </c>
      <c r="P30" s="173"/>
      <c r="Q30" s="165">
        <v>6425</v>
      </c>
    </row>
    <row r="31" spans="1:17" x14ac:dyDescent="0.25">
      <c r="A31" s="164" t="s">
        <v>218</v>
      </c>
      <c r="B31" s="165">
        <v>3108.7478113906159</v>
      </c>
      <c r="C31" s="165">
        <v>3587.1029593585431</v>
      </c>
      <c r="D31" s="165">
        <v>3691.7081073264703</v>
      </c>
      <c r="E31" s="165">
        <v>3572.0632552943975</v>
      </c>
      <c r="F31" s="165">
        <v>3745.6684032623243</v>
      </c>
      <c r="G31" s="165">
        <v>3265.1029593585431</v>
      </c>
      <c r="H31" s="165">
        <v>3734.1684032623243</v>
      </c>
      <c r="I31" s="165">
        <v>3574.9382552943975</v>
      </c>
      <c r="J31" s="165">
        <v>3412.8331073264703</v>
      </c>
      <c r="K31" s="165">
        <v>3734.1684032623243</v>
      </c>
      <c r="L31" s="165">
        <v>3407.0831073264703</v>
      </c>
      <c r="M31" s="165">
        <v>3566.3132552943975</v>
      </c>
      <c r="N31" s="165">
        <f t="shared" si="4"/>
        <v>42399.898027757285</v>
      </c>
      <c r="P31" s="173"/>
      <c r="Q31" s="165">
        <v>18050.309019222484</v>
      </c>
    </row>
    <row r="32" spans="1:17" x14ac:dyDescent="0.25">
      <c r="A32" s="164" t="s">
        <v>219</v>
      </c>
      <c r="B32" s="165">
        <v>164.86052152706432</v>
      </c>
      <c r="C32" s="165">
        <v>199.53739108112032</v>
      </c>
      <c r="D32" s="165">
        <v>203.33926063517634</v>
      </c>
      <c r="E32" s="165">
        <v>188.61613018923236</v>
      </c>
      <c r="F32" s="165">
        <v>198.11799974328838</v>
      </c>
      <c r="G32" s="165">
        <v>172.93739108112032</v>
      </c>
      <c r="H32" s="165">
        <v>197.16799974328836</v>
      </c>
      <c r="I32" s="165">
        <v>188.85363018923238</v>
      </c>
      <c r="J32" s="165">
        <v>180.30176063517635</v>
      </c>
      <c r="K32" s="165">
        <v>197.16799974328836</v>
      </c>
      <c r="L32" s="165">
        <v>179.82676063517636</v>
      </c>
      <c r="M32" s="165">
        <v>188.14113018923237</v>
      </c>
      <c r="N32" s="165">
        <f t="shared" si="4"/>
        <v>2258.8679753923961</v>
      </c>
      <c r="P32" s="173"/>
      <c r="Q32" s="165">
        <v>1689.5115256117629</v>
      </c>
    </row>
    <row r="33" spans="1:17" x14ac:dyDescent="0.25">
      <c r="A33" s="164" t="s">
        <v>220</v>
      </c>
      <c r="B33" s="165">
        <v>1779.5909624437456</v>
      </c>
      <c r="C33" s="165">
        <v>1458.9034341513111</v>
      </c>
      <c r="D33" s="165">
        <v>1531.8486058588767</v>
      </c>
      <c r="E33" s="165">
        <v>1604.7937775664423</v>
      </c>
      <c r="F33" s="165">
        <v>1677.7389492740078</v>
      </c>
      <c r="G33" s="165">
        <v>1458.9034341513111</v>
      </c>
      <c r="H33" s="165">
        <v>1677.7389492740078</v>
      </c>
      <c r="I33" s="165">
        <v>1604.7937775664423</v>
      </c>
      <c r="J33" s="165">
        <v>1531.8486058588767</v>
      </c>
      <c r="K33" s="165">
        <v>1677.7389492740078</v>
      </c>
      <c r="L33" s="165">
        <v>1531.8486058588767</v>
      </c>
      <c r="M33" s="165">
        <v>1604.7937775664423</v>
      </c>
      <c r="N33" s="165">
        <f t="shared" si="4"/>
        <v>19140.541828844351</v>
      </c>
      <c r="P33" s="173"/>
      <c r="Q33" s="165">
        <v>14035.441016369763</v>
      </c>
    </row>
    <row r="34" spans="1:17" x14ac:dyDescent="0.25">
      <c r="A34" s="164" t="s">
        <v>221</v>
      </c>
      <c r="B34" s="165">
        <v>956.53100843093398</v>
      </c>
      <c r="C34" s="165">
        <v>478.53737729571986</v>
      </c>
      <c r="D34" s="165">
        <v>486.21424616050587</v>
      </c>
      <c r="E34" s="165">
        <v>445.14111502529181</v>
      </c>
      <c r="F34" s="165">
        <v>467.81798389007781</v>
      </c>
      <c r="G34" s="165">
        <v>408.53737729571986</v>
      </c>
      <c r="H34" s="165">
        <v>465.31798389007781</v>
      </c>
      <c r="I34" s="165">
        <v>445.76611502529181</v>
      </c>
      <c r="J34" s="165">
        <v>425.58924616050587</v>
      </c>
      <c r="K34" s="165">
        <v>465.31798389007781</v>
      </c>
      <c r="L34" s="165">
        <v>424.33924616050587</v>
      </c>
      <c r="M34" s="165">
        <v>443.89111502529181</v>
      </c>
      <c r="N34" s="165">
        <f t="shared" si="4"/>
        <v>5913.000798250001</v>
      </c>
      <c r="P34" s="173"/>
      <c r="Q34" s="165">
        <v>4177.0908374999999</v>
      </c>
    </row>
    <row r="35" spans="1:17" x14ac:dyDescent="0.25">
      <c r="A35" s="166" t="s">
        <v>222</v>
      </c>
      <c r="B35" s="167">
        <f t="shared" ref="B35:N35" si="5">SUM(B29:B34)</f>
        <v>21594.150641029715</v>
      </c>
      <c r="C35" s="167">
        <f t="shared" si="5"/>
        <v>24865.576253715491</v>
      </c>
      <c r="D35" s="167">
        <f t="shared" si="5"/>
        <v>25361.680066401263</v>
      </c>
      <c r="E35" s="167">
        <f t="shared" si="5"/>
        <v>23616.25887908704</v>
      </c>
      <c r="F35" s="167">
        <f t="shared" si="5"/>
        <v>24802.062691772808</v>
      </c>
      <c r="G35" s="167">
        <f t="shared" si="5"/>
        <v>21646.976253715489</v>
      </c>
      <c r="H35" s="167">
        <f t="shared" si="5"/>
        <v>24687.112691772811</v>
      </c>
      <c r="I35" s="167">
        <f t="shared" si="5"/>
        <v>23644.996379087039</v>
      </c>
      <c r="J35" s="167">
        <f t="shared" si="5"/>
        <v>22574.14256640126</v>
      </c>
      <c r="K35" s="167">
        <f t="shared" si="5"/>
        <v>24687.112691772811</v>
      </c>
      <c r="L35" s="167">
        <f t="shared" si="5"/>
        <v>22516.667566401262</v>
      </c>
      <c r="M35" s="167">
        <f t="shared" si="5"/>
        <v>26302.916156837044</v>
      </c>
      <c r="N35" s="167">
        <f t="shared" si="5"/>
        <v>286299.6528379941</v>
      </c>
      <c r="P35" s="173"/>
      <c r="Q35" s="167">
        <f t="shared" ref="Q35" si="6">SUM(Q29:Q34)</f>
        <v>200895.90246320402</v>
      </c>
    </row>
    <row r="36" spans="1:17" x14ac:dyDescent="0.25">
      <c r="A36" s="168" t="s">
        <v>191</v>
      </c>
      <c r="B36" s="167">
        <f t="shared" ref="B36:N36" si="7">SUM(B27,B35)</f>
        <v>27944.920641029716</v>
      </c>
      <c r="C36" s="167">
        <f t="shared" si="7"/>
        <v>95316.346253715499</v>
      </c>
      <c r="D36" s="167">
        <f t="shared" si="7"/>
        <v>55812.450066401259</v>
      </c>
      <c r="E36" s="167">
        <f t="shared" si="7"/>
        <v>27067.02887908704</v>
      </c>
      <c r="F36" s="167">
        <f t="shared" si="7"/>
        <v>26752.832691772808</v>
      </c>
      <c r="G36" s="167">
        <f t="shared" si="7"/>
        <v>29847.74625371549</v>
      </c>
      <c r="H36" s="167">
        <f t="shared" si="7"/>
        <v>30137.882691772811</v>
      </c>
      <c r="I36" s="167">
        <f t="shared" si="7"/>
        <v>25595.766379087039</v>
      </c>
      <c r="J36" s="167">
        <f t="shared" si="7"/>
        <v>30884.912566401261</v>
      </c>
      <c r="K36" s="167">
        <f t="shared" si="7"/>
        <v>59847.882691772807</v>
      </c>
      <c r="L36" s="167">
        <f t="shared" si="7"/>
        <v>31717.437566401262</v>
      </c>
      <c r="M36" s="167">
        <f t="shared" si="7"/>
        <v>26653.686156837044</v>
      </c>
      <c r="N36" s="167">
        <f t="shared" si="7"/>
        <v>467578.89283799409</v>
      </c>
      <c r="P36" s="173"/>
      <c r="Q36" s="167">
        <f t="shared" ref="Q36" si="8">SUM(Q27,Q35)</f>
        <v>383455.90246320399</v>
      </c>
    </row>
    <row r="37" spans="1:17" x14ac:dyDescent="0.25">
      <c r="A37" s="159" t="s">
        <v>192</v>
      </c>
      <c r="B37" s="160">
        <f t="shared" ref="B37:N37" si="9">B8-B36</f>
        <v>-27944.920641029716</v>
      </c>
      <c r="C37" s="160">
        <f t="shared" si="9"/>
        <v>-95316.346253715499</v>
      </c>
      <c r="D37" s="160">
        <f t="shared" si="9"/>
        <v>-55812.450066401259</v>
      </c>
      <c r="E37" s="160">
        <f t="shared" si="9"/>
        <v>-27067.02887908704</v>
      </c>
      <c r="F37" s="160">
        <f t="shared" si="9"/>
        <v>-26752.832691772808</v>
      </c>
      <c r="G37" s="160">
        <f t="shared" si="9"/>
        <v>-29847.74625371549</v>
      </c>
      <c r="H37" s="160">
        <f t="shared" si="9"/>
        <v>-30137.882691772811</v>
      </c>
      <c r="I37" s="160">
        <f t="shared" si="9"/>
        <v>-25595.766379087039</v>
      </c>
      <c r="J37" s="160">
        <f t="shared" si="9"/>
        <v>-30884.912566401261</v>
      </c>
      <c r="K37" s="160">
        <f t="shared" si="9"/>
        <v>-59847.882691772807</v>
      </c>
      <c r="L37" s="160">
        <f t="shared" si="9"/>
        <v>-31717.437566401262</v>
      </c>
      <c r="M37" s="160">
        <f t="shared" si="9"/>
        <v>-26653.686156837044</v>
      </c>
      <c r="N37" s="160">
        <f t="shared" si="9"/>
        <v>-467578.89283799409</v>
      </c>
      <c r="P37" s="173"/>
      <c r="Q37" s="160">
        <f t="shared" ref="Q37" si="10">Q8-Q36</f>
        <v>-383455.90246320399</v>
      </c>
    </row>
    <row r="38" spans="1:17" x14ac:dyDescent="0.25">
      <c r="A38" s="161" t="s">
        <v>193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P38" s="173"/>
    </row>
    <row r="39" spans="1:17" x14ac:dyDescent="0.25">
      <c r="A39" s="163" t="s">
        <v>196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P39" s="173"/>
    </row>
    <row r="40" spans="1:17" x14ac:dyDescent="0.25">
      <c r="A40" s="164" t="s">
        <v>372</v>
      </c>
      <c r="B40" s="165">
        <v>0</v>
      </c>
      <c r="C40" s="165">
        <v>0</v>
      </c>
      <c r="D40" s="165">
        <v>400</v>
      </c>
      <c r="E40" s="165">
        <v>400</v>
      </c>
      <c r="F40" s="165">
        <v>400</v>
      </c>
      <c r="G40" s="165">
        <v>0</v>
      </c>
      <c r="H40" s="165">
        <v>0</v>
      </c>
      <c r="I40" s="165">
        <v>400</v>
      </c>
      <c r="J40" s="165">
        <v>400</v>
      </c>
      <c r="K40" s="165">
        <v>400</v>
      </c>
      <c r="L40" s="165">
        <v>400</v>
      </c>
      <c r="M40" s="165">
        <v>0</v>
      </c>
      <c r="N40" s="165">
        <f>SUM(B40:M40)</f>
        <v>2800</v>
      </c>
      <c r="O40" s="165">
        <v>4000</v>
      </c>
      <c r="P40" s="173">
        <f t="shared" si="2"/>
        <v>-1200</v>
      </c>
      <c r="Q40" s="165">
        <v>2800</v>
      </c>
    </row>
    <row r="41" spans="1:17" x14ac:dyDescent="0.25">
      <c r="A41" s="164" t="s">
        <v>373</v>
      </c>
      <c r="B41" s="165">
        <v>0</v>
      </c>
      <c r="C41" s="165">
        <v>97000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f>SUM(B41:M41)</f>
        <v>97000</v>
      </c>
      <c r="O41" s="165">
        <v>95000</v>
      </c>
      <c r="P41" s="173">
        <f t="shared" si="2"/>
        <v>2000</v>
      </c>
      <c r="Q41" s="165">
        <v>95000</v>
      </c>
    </row>
    <row r="42" spans="1:17" x14ac:dyDescent="0.25">
      <c r="A42" s="164" t="s">
        <v>224</v>
      </c>
      <c r="B42" s="165">
        <v>0</v>
      </c>
      <c r="C42" s="165">
        <v>0</v>
      </c>
      <c r="D42" s="165">
        <v>2000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25000</v>
      </c>
      <c r="L42" s="165">
        <v>0</v>
      </c>
      <c r="M42" s="165">
        <v>0</v>
      </c>
      <c r="N42" s="165">
        <f>SUM(B42:M42)</f>
        <v>27000</v>
      </c>
      <c r="O42" s="165">
        <v>29000</v>
      </c>
      <c r="P42" s="173">
        <f t="shared" si="2"/>
        <v>-2000</v>
      </c>
      <c r="Q42" s="165">
        <v>27000</v>
      </c>
    </row>
    <row r="43" spans="1:17" x14ac:dyDescent="0.25">
      <c r="A43" s="166" t="s">
        <v>197</v>
      </c>
      <c r="B43" s="167">
        <f t="shared" ref="B43:N43" si="11">SUM(B40:B42)</f>
        <v>0</v>
      </c>
      <c r="C43" s="167">
        <f t="shared" si="11"/>
        <v>97000</v>
      </c>
      <c r="D43" s="167">
        <f t="shared" si="11"/>
        <v>2400</v>
      </c>
      <c r="E43" s="167">
        <f t="shared" si="11"/>
        <v>400</v>
      </c>
      <c r="F43" s="167">
        <f t="shared" si="11"/>
        <v>400</v>
      </c>
      <c r="G43" s="167">
        <f t="shared" si="11"/>
        <v>0</v>
      </c>
      <c r="H43" s="167">
        <f t="shared" si="11"/>
        <v>0</v>
      </c>
      <c r="I43" s="167">
        <f t="shared" si="11"/>
        <v>400</v>
      </c>
      <c r="J43" s="167">
        <f t="shared" si="11"/>
        <v>400</v>
      </c>
      <c r="K43" s="167">
        <f t="shared" si="11"/>
        <v>25400</v>
      </c>
      <c r="L43" s="167">
        <f t="shared" si="11"/>
        <v>400</v>
      </c>
      <c r="M43" s="167">
        <f t="shared" si="11"/>
        <v>0</v>
      </c>
      <c r="N43" s="167">
        <f t="shared" si="11"/>
        <v>126800</v>
      </c>
      <c r="P43" s="173">
        <f t="shared" si="2"/>
        <v>126800</v>
      </c>
      <c r="Q43" s="167">
        <f t="shared" ref="Q43" si="12">SUM(Q40:Q42)</f>
        <v>124800</v>
      </c>
    </row>
    <row r="44" spans="1:17" x14ac:dyDescent="0.25">
      <c r="A44" s="168" t="s">
        <v>200</v>
      </c>
      <c r="B44" s="167">
        <f t="shared" ref="B44:N44" si="13">SUM(B43)</f>
        <v>0</v>
      </c>
      <c r="C44" s="167">
        <f t="shared" si="13"/>
        <v>97000</v>
      </c>
      <c r="D44" s="167">
        <f t="shared" si="13"/>
        <v>2400</v>
      </c>
      <c r="E44" s="167">
        <f t="shared" si="13"/>
        <v>400</v>
      </c>
      <c r="F44" s="167">
        <f t="shared" si="13"/>
        <v>400</v>
      </c>
      <c r="G44" s="167">
        <f t="shared" si="13"/>
        <v>0</v>
      </c>
      <c r="H44" s="167">
        <f t="shared" si="13"/>
        <v>0</v>
      </c>
      <c r="I44" s="167">
        <f t="shared" si="13"/>
        <v>400</v>
      </c>
      <c r="J44" s="167">
        <f t="shared" si="13"/>
        <v>400</v>
      </c>
      <c r="K44" s="167">
        <f t="shared" si="13"/>
        <v>25400</v>
      </c>
      <c r="L44" s="167">
        <f t="shared" si="13"/>
        <v>400</v>
      </c>
      <c r="M44" s="167">
        <f t="shared" si="13"/>
        <v>0</v>
      </c>
      <c r="N44" s="167">
        <f t="shared" si="13"/>
        <v>126800</v>
      </c>
      <c r="P44" s="173">
        <f t="shared" si="2"/>
        <v>126800</v>
      </c>
      <c r="Q44" s="167">
        <f t="shared" ref="Q44" si="14">SUM(Q43)</f>
        <v>124800</v>
      </c>
    </row>
    <row r="45" spans="1:17" x14ac:dyDescent="0.25">
      <c r="A45" s="159" t="s">
        <v>29</v>
      </c>
      <c r="B45" s="160">
        <f t="shared" ref="B45:N45" si="15">B37+B44+0</f>
        <v>-27944.920641029716</v>
      </c>
      <c r="C45" s="160">
        <f t="shared" si="15"/>
        <v>1683.6537462845008</v>
      </c>
      <c r="D45" s="160">
        <f t="shared" si="15"/>
        <v>-53412.450066401259</v>
      </c>
      <c r="E45" s="160">
        <f t="shared" si="15"/>
        <v>-26667.02887908704</v>
      </c>
      <c r="F45" s="160">
        <f t="shared" si="15"/>
        <v>-26352.832691772808</v>
      </c>
      <c r="G45" s="160">
        <f t="shared" si="15"/>
        <v>-29847.74625371549</v>
      </c>
      <c r="H45" s="160">
        <f t="shared" si="15"/>
        <v>-30137.882691772811</v>
      </c>
      <c r="I45" s="160">
        <f t="shared" si="15"/>
        <v>-25195.766379087039</v>
      </c>
      <c r="J45" s="160">
        <f t="shared" si="15"/>
        <v>-30484.912566401261</v>
      </c>
      <c r="K45" s="160">
        <f t="shared" si="15"/>
        <v>-34447.882691772807</v>
      </c>
      <c r="L45" s="160">
        <f t="shared" si="15"/>
        <v>-31317.437566401262</v>
      </c>
      <c r="M45" s="160">
        <f t="shared" si="15"/>
        <v>-26653.686156837044</v>
      </c>
      <c r="N45" s="160">
        <f t="shared" si="15"/>
        <v>-340778.89283799409</v>
      </c>
      <c r="P45" s="173">
        <f t="shared" si="2"/>
        <v>-340778.89283799409</v>
      </c>
      <c r="Q45" s="160">
        <f t="shared" ref="Q45" si="16">Q37+Q44+0</f>
        <v>-258655.90246320399</v>
      </c>
    </row>
    <row r="49" spans="1:17" x14ac:dyDescent="0.25">
      <c r="A49" s="183"/>
    </row>
    <row r="50" spans="1:17" x14ac:dyDescent="0.25">
      <c r="B50" s="184"/>
      <c r="Q50" s="287"/>
    </row>
    <row r="51" spans="1:17" x14ac:dyDescent="0.25">
      <c r="B51" s="184"/>
    </row>
    <row r="52" spans="1:17" x14ac:dyDescent="0.25">
      <c r="B52" s="184"/>
    </row>
    <row r="53" spans="1:17" x14ac:dyDescent="0.25">
      <c r="B53" s="184"/>
    </row>
    <row r="54" spans="1:17" x14ac:dyDescent="0.25">
      <c r="B54" s="184"/>
    </row>
    <row r="55" spans="1:17" x14ac:dyDescent="0.25">
      <c r="B55" s="184"/>
    </row>
    <row r="56" spans="1:17" x14ac:dyDescent="0.25">
      <c r="B56" s="184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6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E583-9022-C748-AC7A-1903E0CCE0F9}">
  <sheetPr codeName="Sheet5">
    <tabColor rgb="FFFFC000"/>
    <pageSetUpPr fitToPage="1"/>
  </sheetPr>
  <dimension ref="A1:O56"/>
  <sheetViews>
    <sheetView topLeftCell="A13" workbookViewId="0">
      <selection activeCell="M51" sqref="M51"/>
    </sheetView>
  </sheetViews>
  <sheetFormatPr defaultColWidth="7" defaultRowHeight="11.25" x14ac:dyDescent="0.2"/>
  <cols>
    <col min="1" max="1" width="49" style="81" bestFit="1" customWidth="1"/>
    <col min="2" max="13" width="8.125" style="81" bestFit="1" customWidth="1"/>
    <col min="14" max="14" width="8.875" style="81" bestFit="1" customWidth="1"/>
    <col min="15" max="16384" width="7" style="81"/>
  </cols>
  <sheetData>
    <row r="1" spans="1:14" ht="15.75" x14ac:dyDescent="0.25">
      <c r="A1" s="375" t="s">
        <v>176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18" x14ac:dyDescent="0.25">
      <c r="A2" s="376" t="s">
        <v>177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18" x14ac:dyDescent="0.25">
      <c r="A3" s="376" t="s">
        <v>178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8" x14ac:dyDescent="0.25">
      <c r="A4" s="376" t="s">
        <v>116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ht="18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x14ac:dyDescent="0.2">
      <c r="A6" s="186" t="s">
        <v>181</v>
      </c>
      <c r="B6" s="187">
        <v>45292</v>
      </c>
      <c r="C6" s="187">
        <v>45323</v>
      </c>
      <c r="D6" s="187">
        <v>45352</v>
      </c>
      <c r="E6" s="187">
        <v>45383</v>
      </c>
      <c r="F6" s="187">
        <v>45413</v>
      </c>
      <c r="G6" s="187">
        <v>45444</v>
      </c>
      <c r="H6" s="187">
        <v>45474</v>
      </c>
      <c r="I6" s="187">
        <v>45505</v>
      </c>
      <c r="J6" s="187">
        <v>45536</v>
      </c>
      <c r="K6" s="187">
        <v>45566</v>
      </c>
      <c r="L6" s="187">
        <v>45597</v>
      </c>
      <c r="M6" s="187">
        <v>45627</v>
      </c>
      <c r="N6" s="228" t="s">
        <v>46</v>
      </c>
    </row>
    <row r="7" spans="1:14" s="220" customFormat="1" x14ac:dyDescent="0.2">
      <c r="A7" s="188" t="s">
        <v>184</v>
      </c>
      <c r="B7" s="189" t="s">
        <v>185</v>
      </c>
      <c r="C7" s="189" t="s">
        <v>185</v>
      </c>
      <c r="D7" s="189" t="s">
        <v>185</v>
      </c>
      <c r="E7" s="189" t="s">
        <v>185</v>
      </c>
      <c r="F7" s="189" t="s">
        <v>185</v>
      </c>
      <c r="G7" s="189" t="s">
        <v>185</v>
      </c>
      <c r="H7" s="189" t="s">
        <v>185</v>
      </c>
      <c r="I7" s="189" t="s">
        <v>185</v>
      </c>
      <c r="J7" s="189" t="s">
        <v>185</v>
      </c>
      <c r="K7" s="189" t="s">
        <v>185</v>
      </c>
      <c r="L7" s="189" t="s">
        <v>185</v>
      </c>
      <c r="M7" s="189" t="s">
        <v>185</v>
      </c>
      <c r="N7" s="189" t="s">
        <v>185</v>
      </c>
    </row>
    <row r="8" spans="1:14" x14ac:dyDescent="0.2">
      <c r="A8" s="190" t="s">
        <v>240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4" x14ac:dyDescent="0.2">
      <c r="A9" s="192" t="s">
        <v>245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x14ac:dyDescent="0.2">
      <c r="A10" s="193" t="s">
        <v>374</v>
      </c>
      <c r="B10" s="165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94">
        <f>SUM(B10:M10)</f>
        <v>0</v>
      </c>
    </row>
    <row r="11" spans="1:14" x14ac:dyDescent="0.2">
      <c r="A11" s="193" t="s">
        <v>375</v>
      </c>
      <c r="B11" s="165">
        <v>1500</v>
      </c>
      <c r="C11" s="165">
        <v>20000</v>
      </c>
      <c r="D11" s="165">
        <v>15000</v>
      </c>
      <c r="E11" s="165">
        <v>7000</v>
      </c>
      <c r="F11" s="165">
        <v>12000</v>
      </c>
      <c r="G11" s="165">
        <v>6000</v>
      </c>
      <c r="H11" s="165">
        <v>10000</v>
      </c>
      <c r="I11" s="165">
        <v>10000</v>
      </c>
      <c r="J11" s="165">
        <v>5000</v>
      </c>
      <c r="K11" s="165">
        <v>5000</v>
      </c>
      <c r="L11" s="165">
        <v>5000</v>
      </c>
      <c r="M11" s="165">
        <v>5000</v>
      </c>
      <c r="N11" s="194">
        <f>SUM(B11:M11)</f>
        <v>101500</v>
      </c>
    </row>
    <row r="12" spans="1:14" x14ac:dyDescent="0.2">
      <c r="A12" s="193" t="s">
        <v>376</v>
      </c>
      <c r="B12" s="165">
        <v>1000</v>
      </c>
      <c r="C12" s="165">
        <v>2000</v>
      </c>
      <c r="D12" s="165">
        <v>2000</v>
      </c>
      <c r="E12" s="165">
        <v>1000</v>
      </c>
      <c r="F12" s="165">
        <v>4000</v>
      </c>
      <c r="G12" s="165">
        <v>500</v>
      </c>
      <c r="H12" s="165">
        <v>1000</v>
      </c>
      <c r="I12" s="165">
        <v>1000</v>
      </c>
      <c r="J12" s="165">
        <v>1000</v>
      </c>
      <c r="K12" s="165">
        <v>1000</v>
      </c>
      <c r="L12" s="165">
        <v>1000</v>
      </c>
      <c r="M12" s="165">
        <v>1000</v>
      </c>
      <c r="N12" s="194">
        <f>SUM(B12:M12)</f>
        <v>16500</v>
      </c>
    </row>
    <row r="13" spans="1:14" x14ac:dyDescent="0.2">
      <c r="A13" s="193" t="s">
        <v>377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f>SUM(B13:M13)</f>
        <v>0</v>
      </c>
    </row>
    <row r="14" spans="1:14" x14ac:dyDescent="0.2">
      <c r="A14" s="195" t="s">
        <v>247</v>
      </c>
      <c r="B14" s="196">
        <f t="shared" ref="B14:N14" si="0">SUM(B10:B13)</f>
        <v>2500</v>
      </c>
      <c r="C14" s="196">
        <f t="shared" si="0"/>
        <v>22000</v>
      </c>
      <c r="D14" s="196">
        <f t="shared" si="0"/>
        <v>17000</v>
      </c>
      <c r="E14" s="196">
        <f t="shared" si="0"/>
        <v>8000</v>
      </c>
      <c r="F14" s="196">
        <f t="shared" si="0"/>
        <v>16000</v>
      </c>
      <c r="G14" s="196">
        <f t="shared" si="0"/>
        <v>6500</v>
      </c>
      <c r="H14" s="196">
        <f t="shared" si="0"/>
        <v>11000</v>
      </c>
      <c r="I14" s="196">
        <f t="shared" si="0"/>
        <v>11000</v>
      </c>
      <c r="J14" s="196">
        <f t="shared" si="0"/>
        <v>6000</v>
      </c>
      <c r="K14" s="196">
        <f t="shared" si="0"/>
        <v>6000</v>
      </c>
      <c r="L14" s="196">
        <f t="shared" si="0"/>
        <v>6000</v>
      </c>
      <c r="M14" s="196">
        <f t="shared" si="0"/>
        <v>6000</v>
      </c>
      <c r="N14" s="196">
        <f t="shared" si="0"/>
        <v>118000</v>
      </c>
    </row>
    <row r="15" spans="1:14" x14ac:dyDescent="0.2">
      <c r="A15" s="197" t="s">
        <v>248</v>
      </c>
      <c r="B15" s="196">
        <f t="shared" ref="B15:N15" si="1">SUM(B14)</f>
        <v>2500</v>
      </c>
      <c r="C15" s="196">
        <f t="shared" si="1"/>
        <v>22000</v>
      </c>
      <c r="D15" s="196">
        <f t="shared" si="1"/>
        <v>17000</v>
      </c>
      <c r="E15" s="196">
        <f t="shared" si="1"/>
        <v>8000</v>
      </c>
      <c r="F15" s="196">
        <f t="shared" si="1"/>
        <v>16000</v>
      </c>
      <c r="G15" s="196">
        <f t="shared" si="1"/>
        <v>6500</v>
      </c>
      <c r="H15" s="196">
        <f t="shared" si="1"/>
        <v>11000</v>
      </c>
      <c r="I15" s="196">
        <f t="shared" si="1"/>
        <v>11000</v>
      </c>
      <c r="J15" s="196">
        <f t="shared" si="1"/>
        <v>6000</v>
      </c>
      <c r="K15" s="196">
        <f t="shared" si="1"/>
        <v>6000</v>
      </c>
      <c r="L15" s="196">
        <f t="shared" si="1"/>
        <v>6000</v>
      </c>
      <c r="M15" s="196">
        <f t="shared" si="1"/>
        <v>6000</v>
      </c>
      <c r="N15" s="196">
        <f t="shared" si="1"/>
        <v>118000</v>
      </c>
    </row>
    <row r="16" spans="1:14" x14ac:dyDescent="0.2">
      <c r="A16" s="190" t="s">
        <v>249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</row>
    <row r="17" spans="1:14" x14ac:dyDescent="0.2">
      <c r="A17" s="198" t="s">
        <v>250</v>
      </c>
      <c r="B17" s="165">
        <f>SUM(B11:B12)*0.52</f>
        <v>1300</v>
      </c>
      <c r="C17" s="165">
        <f t="shared" ref="C17:M17" si="2">SUM(C11:C12)*0.52</f>
        <v>11440</v>
      </c>
      <c r="D17" s="165">
        <f t="shared" si="2"/>
        <v>8840</v>
      </c>
      <c r="E17" s="165">
        <f t="shared" si="2"/>
        <v>4160</v>
      </c>
      <c r="F17" s="165">
        <f t="shared" si="2"/>
        <v>8320</v>
      </c>
      <c r="G17" s="165">
        <f t="shared" si="2"/>
        <v>3380</v>
      </c>
      <c r="H17" s="165">
        <f t="shared" si="2"/>
        <v>5720</v>
      </c>
      <c r="I17" s="165">
        <f t="shared" si="2"/>
        <v>5720</v>
      </c>
      <c r="J17" s="165">
        <f t="shared" si="2"/>
        <v>3120</v>
      </c>
      <c r="K17" s="165">
        <f t="shared" si="2"/>
        <v>3120</v>
      </c>
      <c r="L17" s="165">
        <f t="shared" si="2"/>
        <v>3120</v>
      </c>
      <c r="M17" s="165">
        <f t="shared" si="2"/>
        <v>3120</v>
      </c>
      <c r="N17" s="194">
        <f>SUM(B17:M17)</f>
        <v>61360</v>
      </c>
    </row>
    <row r="18" spans="1:14" x14ac:dyDescent="0.2">
      <c r="A18" s="197" t="s">
        <v>251</v>
      </c>
      <c r="B18" s="196">
        <f t="shared" ref="B18:N18" si="3">SUM(B17)</f>
        <v>1300</v>
      </c>
      <c r="C18" s="196">
        <f t="shared" si="3"/>
        <v>11440</v>
      </c>
      <c r="D18" s="196">
        <f t="shared" si="3"/>
        <v>8840</v>
      </c>
      <c r="E18" s="196">
        <f t="shared" si="3"/>
        <v>4160</v>
      </c>
      <c r="F18" s="196">
        <f t="shared" si="3"/>
        <v>8320</v>
      </c>
      <c r="G18" s="196">
        <f t="shared" si="3"/>
        <v>3380</v>
      </c>
      <c r="H18" s="196">
        <f t="shared" si="3"/>
        <v>5720</v>
      </c>
      <c r="I18" s="196">
        <f t="shared" si="3"/>
        <v>5720</v>
      </c>
      <c r="J18" s="196">
        <f t="shared" si="3"/>
        <v>3120</v>
      </c>
      <c r="K18" s="196">
        <f t="shared" si="3"/>
        <v>3120</v>
      </c>
      <c r="L18" s="196">
        <f t="shared" si="3"/>
        <v>3120</v>
      </c>
      <c r="M18" s="196">
        <f t="shared" si="3"/>
        <v>3120</v>
      </c>
      <c r="N18" s="196">
        <f t="shared" si="3"/>
        <v>61360</v>
      </c>
    </row>
    <row r="19" spans="1:14" x14ac:dyDescent="0.2">
      <c r="A19" s="199" t="s">
        <v>187</v>
      </c>
      <c r="B19" s="200">
        <f t="shared" ref="B19:N19" si="4">B15-B18</f>
        <v>1200</v>
      </c>
      <c r="C19" s="200">
        <f t="shared" si="4"/>
        <v>10560</v>
      </c>
      <c r="D19" s="200">
        <f t="shared" si="4"/>
        <v>8160</v>
      </c>
      <c r="E19" s="200">
        <f t="shared" si="4"/>
        <v>3840</v>
      </c>
      <c r="F19" s="200">
        <f t="shared" si="4"/>
        <v>7680</v>
      </c>
      <c r="G19" s="200">
        <f t="shared" si="4"/>
        <v>3120</v>
      </c>
      <c r="H19" s="200">
        <f t="shared" si="4"/>
        <v>5280</v>
      </c>
      <c r="I19" s="200">
        <f t="shared" si="4"/>
        <v>5280</v>
      </c>
      <c r="J19" s="200">
        <f t="shared" si="4"/>
        <v>2880</v>
      </c>
      <c r="K19" s="200">
        <f t="shared" si="4"/>
        <v>2880</v>
      </c>
      <c r="L19" s="200">
        <f t="shared" si="4"/>
        <v>2880</v>
      </c>
      <c r="M19" s="200">
        <f t="shared" si="4"/>
        <v>2880</v>
      </c>
      <c r="N19" s="200">
        <f t="shared" si="4"/>
        <v>56640</v>
      </c>
    </row>
    <row r="20" spans="1:14" x14ac:dyDescent="0.2">
      <c r="A20" s="190" t="s">
        <v>188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</row>
    <row r="21" spans="1:14" x14ac:dyDescent="0.2">
      <c r="A21" s="192" t="s">
        <v>189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</row>
    <row r="22" spans="1:14" x14ac:dyDescent="0.2">
      <c r="A22" s="193" t="s">
        <v>378</v>
      </c>
      <c r="B22" s="194">
        <v>0</v>
      </c>
      <c r="C22" s="194">
        <v>0</v>
      </c>
      <c r="D22" s="194">
        <v>0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f t="shared" ref="N22:N38" si="5">SUM(B22:M22)</f>
        <v>0</v>
      </c>
    </row>
    <row r="23" spans="1:14" x14ac:dyDescent="0.2">
      <c r="A23" s="193" t="s">
        <v>358</v>
      </c>
      <c r="B23" s="165">
        <v>0</v>
      </c>
      <c r="C23" s="165">
        <v>500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94">
        <f t="shared" si="5"/>
        <v>500</v>
      </c>
    </row>
    <row r="24" spans="1:14" x14ac:dyDescent="0.2">
      <c r="A24" s="193" t="s">
        <v>379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94">
        <f t="shared" si="5"/>
        <v>0</v>
      </c>
    </row>
    <row r="25" spans="1:14" x14ac:dyDescent="0.2">
      <c r="A25" s="193" t="s">
        <v>335</v>
      </c>
      <c r="B25" s="165">
        <v>0</v>
      </c>
      <c r="C25" s="165">
        <v>100</v>
      </c>
      <c r="D25" s="165">
        <v>100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94">
        <f t="shared" si="5"/>
        <v>200</v>
      </c>
    </row>
    <row r="26" spans="1:14" x14ac:dyDescent="0.2">
      <c r="A26" s="193" t="s">
        <v>341</v>
      </c>
      <c r="B26" s="194">
        <v>0</v>
      </c>
      <c r="C26" s="194">
        <v>0</v>
      </c>
      <c r="D26" s="194">
        <v>0</v>
      </c>
      <c r="E26" s="194">
        <v>0</v>
      </c>
      <c r="F26" s="194">
        <v>0</v>
      </c>
      <c r="G26" s="194">
        <v>0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f t="shared" si="5"/>
        <v>0</v>
      </c>
    </row>
    <row r="27" spans="1:14" x14ac:dyDescent="0.2">
      <c r="A27" s="193" t="s">
        <v>25</v>
      </c>
      <c r="B27" s="165">
        <v>0</v>
      </c>
      <c r="C27" s="165">
        <v>100</v>
      </c>
      <c r="D27" s="165">
        <v>100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94">
        <f t="shared" si="5"/>
        <v>200</v>
      </c>
    </row>
    <row r="28" spans="1:14" x14ac:dyDescent="0.2">
      <c r="A28" s="193" t="s">
        <v>206</v>
      </c>
      <c r="B28" s="194">
        <v>131</v>
      </c>
      <c r="C28" s="194">
        <v>131</v>
      </c>
      <c r="D28" s="194">
        <v>131</v>
      </c>
      <c r="E28" s="194">
        <v>131</v>
      </c>
      <c r="F28" s="194">
        <v>131</v>
      </c>
      <c r="G28" s="194">
        <v>131</v>
      </c>
      <c r="H28" s="194">
        <v>131</v>
      </c>
      <c r="I28" s="194">
        <v>131</v>
      </c>
      <c r="J28" s="194">
        <v>131</v>
      </c>
      <c r="K28" s="194">
        <v>131</v>
      </c>
      <c r="L28" s="194">
        <v>131</v>
      </c>
      <c r="M28" s="194">
        <v>131</v>
      </c>
      <c r="N28" s="194">
        <f t="shared" si="5"/>
        <v>1572</v>
      </c>
    </row>
    <row r="29" spans="1:14" x14ac:dyDescent="0.2">
      <c r="A29" s="193" t="s">
        <v>207</v>
      </c>
      <c r="B29" s="194">
        <v>21</v>
      </c>
      <c r="C29" s="194">
        <v>21</v>
      </c>
      <c r="D29" s="194">
        <v>21</v>
      </c>
      <c r="E29" s="194">
        <v>21</v>
      </c>
      <c r="F29" s="194">
        <v>21</v>
      </c>
      <c r="G29" s="194">
        <v>21</v>
      </c>
      <c r="H29" s="194">
        <v>21</v>
      </c>
      <c r="I29" s="194">
        <v>21</v>
      </c>
      <c r="J29" s="194">
        <v>21</v>
      </c>
      <c r="K29" s="194">
        <v>21</v>
      </c>
      <c r="L29" s="194">
        <v>21</v>
      </c>
      <c r="M29" s="194">
        <v>21</v>
      </c>
      <c r="N29" s="194">
        <f t="shared" si="5"/>
        <v>252</v>
      </c>
    </row>
    <row r="30" spans="1:14" x14ac:dyDescent="0.2">
      <c r="A30" s="193" t="s">
        <v>208</v>
      </c>
      <c r="B30" s="194">
        <v>100</v>
      </c>
      <c r="C30" s="194">
        <v>100</v>
      </c>
      <c r="D30" s="194">
        <v>100</v>
      </c>
      <c r="E30" s="194">
        <v>100</v>
      </c>
      <c r="F30" s="194">
        <v>100</v>
      </c>
      <c r="G30" s="194">
        <v>100</v>
      </c>
      <c r="H30" s="194">
        <v>100</v>
      </c>
      <c r="I30" s="194">
        <v>100</v>
      </c>
      <c r="J30" s="194">
        <v>100</v>
      </c>
      <c r="K30" s="194">
        <v>100</v>
      </c>
      <c r="L30" s="194">
        <v>100</v>
      </c>
      <c r="M30" s="194">
        <v>100</v>
      </c>
      <c r="N30" s="194">
        <f t="shared" si="5"/>
        <v>1200</v>
      </c>
    </row>
    <row r="31" spans="1:14" x14ac:dyDescent="0.2">
      <c r="A31" s="193" t="s">
        <v>257</v>
      </c>
      <c r="B31" s="194">
        <v>50</v>
      </c>
      <c r="C31" s="194">
        <v>50</v>
      </c>
      <c r="D31" s="194">
        <v>50</v>
      </c>
      <c r="E31" s="194">
        <v>50</v>
      </c>
      <c r="F31" s="194">
        <v>50</v>
      </c>
      <c r="G31" s="194">
        <v>50</v>
      </c>
      <c r="H31" s="194">
        <v>50</v>
      </c>
      <c r="I31" s="194">
        <v>50</v>
      </c>
      <c r="J31" s="194">
        <v>50</v>
      </c>
      <c r="K31" s="194">
        <v>50</v>
      </c>
      <c r="L31" s="194">
        <v>50</v>
      </c>
      <c r="M31" s="194">
        <v>50</v>
      </c>
      <c r="N31" s="194">
        <f t="shared" si="5"/>
        <v>600</v>
      </c>
    </row>
    <row r="32" spans="1:14" x14ac:dyDescent="0.2">
      <c r="A32" s="193" t="s">
        <v>260</v>
      </c>
      <c r="B32" s="194">
        <v>50</v>
      </c>
      <c r="C32" s="194">
        <v>50</v>
      </c>
      <c r="D32" s="194">
        <v>50</v>
      </c>
      <c r="E32" s="194">
        <v>50</v>
      </c>
      <c r="F32" s="194">
        <v>50</v>
      </c>
      <c r="G32" s="194">
        <v>50</v>
      </c>
      <c r="H32" s="194">
        <v>50</v>
      </c>
      <c r="I32" s="194">
        <v>50</v>
      </c>
      <c r="J32" s="194">
        <v>50</v>
      </c>
      <c r="K32" s="194">
        <v>50</v>
      </c>
      <c r="L32" s="194">
        <v>50</v>
      </c>
      <c r="M32" s="194">
        <v>50</v>
      </c>
      <c r="N32" s="194">
        <f t="shared" si="5"/>
        <v>600</v>
      </c>
    </row>
    <row r="33" spans="1:14" x14ac:dyDescent="0.2">
      <c r="A33" s="229" t="s">
        <v>263</v>
      </c>
      <c r="B33" s="194">
        <v>30</v>
      </c>
      <c r="C33" s="194">
        <v>30</v>
      </c>
      <c r="D33" s="194">
        <v>30</v>
      </c>
      <c r="E33" s="194">
        <v>30</v>
      </c>
      <c r="F33" s="194">
        <v>30</v>
      </c>
      <c r="G33" s="194">
        <v>30</v>
      </c>
      <c r="H33" s="194">
        <v>30</v>
      </c>
      <c r="I33" s="194">
        <v>30</v>
      </c>
      <c r="J33" s="194">
        <v>30</v>
      </c>
      <c r="K33" s="194">
        <v>30</v>
      </c>
      <c r="L33" s="194">
        <v>30</v>
      </c>
      <c r="M33" s="194">
        <v>30</v>
      </c>
      <c r="N33" s="194">
        <f t="shared" si="5"/>
        <v>360</v>
      </c>
    </row>
    <row r="34" spans="1:14" x14ac:dyDescent="0.2">
      <c r="A34" s="193" t="s">
        <v>267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  <c r="H34" s="194">
        <v>0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f t="shared" si="5"/>
        <v>0</v>
      </c>
    </row>
    <row r="35" spans="1:14" x14ac:dyDescent="0.2">
      <c r="A35" s="229" t="s">
        <v>214</v>
      </c>
      <c r="B35" s="194">
        <v>93.25</v>
      </c>
      <c r="C35" s="194">
        <v>93.25</v>
      </c>
      <c r="D35" s="194">
        <v>93.25</v>
      </c>
      <c r="E35" s="194">
        <v>93.25</v>
      </c>
      <c r="F35" s="194">
        <v>93.25</v>
      </c>
      <c r="G35" s="194">
        <v>93.25</v>
      </c>
      <c r="H35" s="194">
        <v>93.25</v>
      </c>
      <c r="I35" s="194">
        <v>93.25</v>
      </c>
      <c r="J35" s="194">
        <v>93.25</v>
      </c>
      <c r="K35" s="194">
        <v>93.25</v>
      </c>
      <c r="L35" s="194">
        <v>93.25</v>
      </c>
      <c r="M35" s="194">
        <v>93.25</v>
      </c>
      <c r="N35" s="194">
        <f t="shared" si="5"/>
        <v>1119</v>
      </c>
    </row>
    <row r="36" spans="1:14" x14ac:dyDescent="0.2">
      <c r="A36" s="229" t="s">
        <v>268</v>
      </c>
      <c r="B36" s="194">
        <v>0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f t="shared" si="5"/>
        <v>0</v>
      </c>
    </row>
    <row r="37" spans="1:14" x14ac:dyDescent="0.2">
      <c r="A37" s="229" t="s">
        <v>215</v>
      </c>
      <c r="B37" s="194">
        <v>28.93</v>
      </c>
      <c r="C37" s="194">
        <v>28.93</v>
      </c>
      <c r="D37" s="194">
        <v>28.93</v>
      </c>
      <c r="E37" s="194">
        <v>28.93</v>
      </c>
      <c r="F37" s="194">
        <v>28.93</v>
      </c>
      <c r="G37" s="194">
        <v>28.93</v>
      </c>
      <c r="H37" s="194">
        <v>28.93</v>
      </c>
      <c r="I37" s="194">
        <v>28.93</v>
      </c>
      <c r="J37" s="194">
        <v>28.93</v>
      </c>
      <c r="K37" s="194">
        <v>28.93</v>
      </c>
      <c r="L37" s="194">
        <v>28.93</v>
      </c>
      <c r="M37" s="194">
        <v>28.93</v>
      </c>
      <c r="N37" s="194">
        <f t="shared" si="5"/>
        <v>347.16</v>
      </c>
    </row>
    <row r="38" spans="1:14" x14ac:dyDescent="0.2">
      <c r="A38" s="229" t="s">
        <v>365</v>
      </c>
      <c r="B38" s="194">
        <v>0</v>
      </c>
      <c r="C38" s="194">
        <v>0</v>
      </c>
      <c r="D38" s="194">
        <v>0</v>
      </c>
      <c r="E38" s="194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f t="shared" si="5"/>
        <v>0</v>
      </c>
    </row>
    <row r="39" spans="1:14" x14ac:dyDescent="0.2">
      <c r="A39" s="195" t="s">
        <v>190</v>
      </c>
      <c r="B39" s="196">
        <f t="shared" ref="B39:N39" si="6">SUM(B22:B38)</f>
        <v>504.18</v>
      </c>
      <c r="C39" s="196">
        <f t="shared" si="6"/>
        <v>1204.18</v>
      </c>
      <c r="D39" s="196">
        <f t="shared" si="6"/>
        <v>704.18</v>
      </c>
      <c r="E39" s="196">
        <f t="shared" si="6"/>
        <v>504.18</v>
      </c>
      <c r="F39" s="196">
        <f t="shared" si="6"/>
        <v>504.18</v>
      </c>
      <c r="G39" s="196">
        <f t="shared" si="6"/>
        <v>504.18</v>
      </c>
      <c r="H39" s="196">
        <f t="shared" si="6"/>
        <v>504.18</v>
      </c>
      <c r="I39" s="196">
        <f t="shared" si="6"/>
        <v>504.18</v>
      </c>
      <c r="J39" s="196">
        <f t="shared" si="6"/>
        <v>504.18</v>
      </c>
      <c r="K39" s="196">
        <f t="shared" si="6"/>
        <v>504.18</v>
      </c>
      <c r="L39" s="196">
        <f t="shared" si="6"/>
        <v>504.18</v>
      </c>
      <c r="M39" s="196">
        <f t="shared" si="6"/>
        <v>504.18</v>
      </c>
      <c r="N39" s="196">
        <f t="shared" si="6"/>
        <v>6950.16</v>
      </c>
    </row>
    <row r="40" spans="1:14" x14ac:dyDescent="0.2">
      <c r="A40" s="192" t="s">
        <v>216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x14ac:dyDescent="0.2">
      <c r="A41" s="193" t="s">
        <v>217</v>
      </c>
      <c r="B41" s="194">
        <v>16832.782768326848</v>
      </c>
      <c r="C41" s="194">
        <v>17718.718703501945</v>
      </c>
      <c r="D41" s="194">
        <v>18604.654638677042</v>
      </c>
      <c r="E41" s="194">
        <v>19490.59057385214</v>
      </c>
      <c r="F41" s="194">
        <v>20376.526509027237</v>
      </c>
      <c r="G41" s="194">
        <v>17718.718703501945</v>
      </c>
      <c r="H41" s="194">
        <v>20376.526509027237</v>
      </c>
      <c r="I41" s="194">
        <v>19490.59057385214</v>
      </c>
      <c r="J41" s="194">
        <v>18604.654638677042</v>
      </c>
      <c r="K41" s="194">
        <v>20376.526509027237</v>
      </c>
      <c r="L41" s="194">
        <v>18604.654638677042</v>
      </c>
      <c r="M41" s="194">
        <v>20636.117173852141</v>
      </c>
      <c r="N41" s="194">
        <f t="shared" ref="N41:N45" si="7">SUM(B41:M41)</f>
        <v>228831.06194000001</v>
      </c>
    </row>
    <row r="42" spans="1:14" x14ac:dyDescent="0.2">
      <c r="A42" s="193" t="s">
        <v>218</v>
      </c>
      <c r="B42" s="194">
        <v>2678.2049853368817</v>
      </c>
      <c r="C42" s="194">
        <v>2819.1631424598759</v>
      </c>
      <c r="D42" s="194">
        <v>2960.1212995828696</v>
      </c>
      <c r="E42" s="194">
        <v>3101.0794567058633</v>
      </c>
      <c r="F42" s="194">
        <v>3242.037613828857</v>
      </c>
      <c r="G42" s="194">
        <v>2819.1631424598759</v>
      </c>
      <c r="H42" s="194">
        <v>3242.037613828857</v>
      </c>
      <c r="I42" s="194">
        <v>3101.0794567058633</v>
      </c>
      <c r="J42" s="194">
        <v>2960.1212995828696</v>
      </c>
      <c r="K42" s="194">
        <v>3242.037613828857</v>
      </c>
      <c r="L42" s="194">
        <v>2960.1212995828696</v>
      </c>
      <c r="M42" s="194">
        <v>3301.5466117058631</v>
      </c>
      <c r="N42" s="194">
        <f t="shared" si="7"/>
        <v>36426.713535609393</v>
      </c>
    </row>
    <row r="43" spans="1:14" x14ac:dyDescent="0.2">
      <c r="A43" s="193" t="s">
        <v>219</v>
      </c>
      <c r="B43" s="194">
        <v>178.36236562666974</v>
      </c>
      <c r="C43" s="194">
        <v>187.74985855438922</v>
      </c>
      <c r="D43" s="194">
        <v>197.13735148210867</v>
      </c>
      <c r="E43" s="194">
        <v>206.52484440982812</v>
      </c>
      <c r="F43" s="194">
        <v>215.9123373375476</v>
      </c>
      <c r="G43" s="194">
        <v>187.74985855438922</v>
      </c>
      <c r="H43" s="194">
        <v>215.9123373375476</v>
      </c>
      <c r="I43" s="194">
        <v>206.52484440982812</v>
      </c>
      <c r="J43" s="194">
        <v>197.13735148210867</v>
      </c>
      <c r="K43" s="194">
        <v>215.9123373375476</v>
      </c>
      <c r="L43" s="194">
        <v>197.13735148210867</v>
      </c>
      <c r="M43" s="194">
        <v>206.52484440982812</v>
      </c>
      <c r="N43" s="194">
        <f t="shared" si="7"/>
        <v>2412.5856824239008</v>
      </c>
    </row>
    <row r="44" spans="1:14" x14ac:dyDescent="0.2">
      <c r="A44" s="193" t="s">
        <v>220</v>
      </c>
      <c r="B44" s="194">
        <v>1562.8873179039015</v>
      </c>
      <c r="C44" s="194">
        <v>1601.4563346356858</v>
      </c>
      <c r="D44" s="194">
        <v>1681.5291513674701</v>
      </c>
      <c r="E44" s="194">
        <v>1761.6019680992545</v>
      </c>
      <c r="F44" s="194">
        <v>1841.6747848310388</v>
      </c>
      <c r="G44" s="194">
        <v>1601.4563346356858</v>
      </c>
      <c r="H44" s="194">
        <v>1841.6747848310388</v>
      </c>
      <c r="I44" s="194">
        <v>1761.6019680992545</v>
      </c>
      <c r="J44" s="194">
        <v>1681.5291513674701</v>
      </c>
      <c r="K44" s="194">
        <v>1841.6747848310388</v>
      </c>
      <c r="L44" s="194">
        <v>1681.5291513674701</v>
      </c>
      <c r="M44" s="194">
        <v>1761.6019680992545</v>
      </c>
      <c r="N44" s="194">
        <f t="shared" si="7"/>
        <v>20620.217700068566</v>
      </c>
    </row>
    <row r="45" spans="1:14" x14ac:dyDescent="0.2">
      <c r="A45" s="193" t="s">
        <v>221</v>
      </c>
      <c r="B45" s="194">
        <v>825.12716920817115</v>
      </c>
      <c r="C45" s="194">
        <v>442.96796758754863</v>
      </c>
      <c r="D45" s="194">
        <v>465.11636596692603</v>
      </c>
      <c r="E45" s="194">
        <v>487.26476434630348</v>
      </c>
      <c r="F45" s="194">
        <v>509.41316272568093</v>
      </c>
      <c r="G45" s="194">
        <v>442.96796758754863</v>
      </c>
      <c r="H45" s="194">
        <v>509.41316272568093</v>
      </c>
      <c r="I45" s="194">
        <v>487.26476434630348</v>
      </c>
      <c r="J45" s="194">
        <v>465.11636596692603</v>
      </c>
      <c r="K45" s="194">
        <v>509.41316272568093</v>
      </c>
      <c r="L45" s="194">
        <v>465.11636596692603</v>
      </c>
      <c r="M45" s="194">
        <v>487.26476434630348</v>
      </c>
      <c r="N45" s="194">
        <f t="shared" si="7"/>
        <v>6096.4459835000007</v>
      </c>
    </row>
    <row r="46" spans="1:14" x14ac:dyDescent="0.2">
      <c r="A46" s="195" t="s">
        <v>222</v>
      </c>
      <c r="B46" s="196">
        <f t="shared" ref="B46:N46" si="8">SUM(B41:B45)</f>
        <v>22077.364606402469</v>
      </c>
      <c r="C46" s="196">
        <f t="shared" si="8"/>
        <v>22770.056006739444</v>
      </c>
      <c r="D46" s="196">
        <f t="shared" si="8"/>
        <v>23908.558807076417</v>
      </c>
      <c r="E46" s="196">
        <f t="shared" si="8"/>
        <v>25047.061607413387</v>
      </c>
      <c r="F46" s="196">
        <f t="shared" si="8"/>
        <v>26185.56440775036</v>
      </c>
      <c r="G46" s="196">
        <f t="shared" si="8"/>
        <v>22770.056006739444</v>
      </c>
      <c r="H46" s="196">
        <f t="shared" si="8"/>
        <v>26185.56440775036</v>
      </c>
      <c r="I46" s="196">
        <f t="shared" si="8"/>
        <v>25047.061607413387</v>
      </c>
      <c r="J46" s="196">
        <f t="shared" si="8"/>
        <v>23908.558807076417</v>
      </c>
      <c r="K46" s="196">
        <f t="shared" si="8"/>
        <v>26185.56440775036</v>
      </c>
      <c r="L46" s="196">
        <f t="shared" si="8"/>
        <v>23908.558807076417</v>
      </c>
      <c r="M46" s="196">
        <f t="shared" si="8"/>
        <v>26393.05536241339</v>
      </c>
      <c r="N46" s="196">
        <f t="shared" si="8"/>
        <v>294387.02484160184</v>
      </c>
    </row>
    <row r="47" spans="1:14" x14ac:dyDescent="0.2">
      <c r="A47" s="197" t="s">
        <v>191</v>
      </c>
      <c r="B47" s="196">
        <f t="shared" ref="B47:N47" si="9">SUM(B39,B46)</f>
        <v>22581.544606402469</v>
      </c>
      <c r="C47" s="196">
        <f t="shared" si="9"/>
        <v>23974.236006739444</v>
      </c>
      <c r="D47" s="196">
        <f t="shared" si="9"/>
        <v>24612.738807076417</v>
      </c>
      <c r="E47" s="196">
        <f t="shared" si="9"/>
        <v>25551.241607413387</v>
      </c>
      <c r="F47" s="196">
        <f t="shared" si="9"/>
        <v>26689.744407750361</v>
      </c>
      <c r="G47" s="196">
        <f t="shared" si="9"/>
        <v>23274.236006739444</v>
      </c>
      <c r="H47" s="196">
        <f t="shared" si="9"/>
        <v>26689.744407750361</v>
      </c>
      <c r="I47" s="196">
        <f t="shared" si="9"/>
        <v>25551.241607413387</v>
      </c>
      <c r="J47" s="196">
        <f t="shared" si="9"/>
        <v>24412.738807076417</v>
      </c>
      <c r="K47" s="196">
        <f t="shared" si="9"/>
        <v>26689.744407750361</v>
      </c>
      <c r="L47" s="196">
        <f t="shared" si="9"/>
        <v>24412.738807076417</v>
      </c>
      <c r="M47" s="196">
        <f t="shared" si="9"/>
        <v>26897.23536241339</v>
      </c>
      <c r="N47" s="196">
        <f t="shared" si="9"/>
        <v>301337.18484160182</v>
      </c>
    </row>
    <row r="48" spans="1:14" x14ac:dyDescent="0.2">
      <c r="A48" s="199" t="s">
        <v>192</v>
      </c>
      <c r="B48" s="200">
        <f t="shared" ref="B48:N48" si="10">B19-B47</f>
        <v>-21381.544606402469</v>
      </c>
      <c r="C48" s="200">
        <f t="shared" si="10"/>
        <v>-13414.236006739444</v>
      </c>
      <c r="D48" s="200">
        <f t="shared" si="10"/>
        <v>-16452.738807076417</v>
      </c>
      <c r="E48" s="200">
        <f t="shared" si="10"/>
        <v>-21711.241607413387</v>
      </c>
      <c r="F48" s="200">
        <f t="shared" si="10"/>
        <v>-19009.744407750361</v>
      </c>
      <c r="G48" s="200">
        <f t="shared" si="10"/>
        <v>-20154.236006739444</v>
      </c>
      <c r="H48" s="200">
        <f t="shared" si="10"/>
        <v>-21409.744407750361</v>
      </c>
      <c r="I48" s="200">
        <f t="shared" si="10"/>
        <v>-20271.241607413387</v>
      </c>
      <c r="J48" s="200">
        <f t="shared" si="10"/>
        <v>-21532.738807076417</v>
      </c>
      <c r="K48" s="200">
        <f t="shared" si="10"/>
        <v>-23809.744407750361</v>
      </c>
      <c r="L48" s="200">
        <f t="shared" si="10"/>
        <v>-21532.738807076417</v>
      </c>
      <c r="M48" s="200">
        <f t="shared" si="10"/>
        <v>-24017.23536241339</v>
      </c>
      <c r="N48" s="200">
        <f t="shared" si="10"/>
        <v>-244697.18484160182</v>
      </c>
    </row>
    <row r="49" spans="1:15" x14ac:dyDescent="0.2">
      <c r="A49" s="190" t="s">
        <v>193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</row>
    <row r="50" spans="1:15" x14ac:dyDescent="0.2">
      <c r="A50" s="192" t="s">
        <v>196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  <row r="51" spans="1:15" x14ac:dyDescent="0.2">
      <c r="A51" s="193" t="s">
        <v>380</v>
      </c>
      <c r="B51" s="165">
        <v>500</v>
      </c>
      <c r="C51" s="165">
        <v>5000</v>
      </c>
      <c r="D51" s="165">
        <v>3000</v>
      </c>
      <c r="E51" s="165">
        <v>1000</v>
      </c>
      <c r="F51" s="165">
        <v>1000</v>
      </c>
      <c r="G51" s="165">
        <v>500</v>
      </c>
      <c r="H51" s="165">
        <v>4000</v>
      </c>
      <c r="I51" s="165">
        <v>2000</v>
      </c>
      <c r="J51" s="165">
        <v>1000</v>
      </c>
      <c r="K51" s="165">
        <v>1000</v>
      </c>
      <c r="L51" s="165">
        <v>500</v>
      </c>
      <c r="M51" s="165">
        <v>0</v>
      </c>
      <c r="N51" s="194">
        <f>SUM(B51:M51)</f>
        <v>19500</v>
      </c>
      <c r="O51" s="81" t="s">
        <v>381</v>
      </c>
    </row>
    <row r="52" spans="1:15" x14ac:dyDescent="0.2">
      <c r="A52" s="193" t="s">
        <v>382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94">
        <f>SUM(B52:M52)</f>
        <v>0</v>
      </c>
    </row>
    <row r="53" spans="1:15" x14ac:dyDescent="0.2">
      <c r="A53" s="193" t="s">
        <v>224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94">
        <f>SUM(B53:M53)</f>
        <v>0</v>
      </c>
    </row>
    <row r="54" spans="1:15" x14ac:dyDescent="0.2">
      <c r="A54" s="195" t="s">
        <v>197</v>
      </c>
      <c r="B54" s="196">
        <f t="shared" ref="B54:N54" si="11">SUM(B51:B53)</f>
        <v>500</v>
      </c>
      <c r="C54" s="196">
        <f t="shared" si="11"/>
        <v>5000</v>
      </c>
      <c r="D54" s="196">
        <f t="shared" si="11"/>
        <v>3000</v>
      </c>
      <c r="E54" s="196">
        <f t="shared" si="11"/>
        <v>1000</v>
      </c>
      <c r="F54" s="196">
        <f t="shared" si="11"/>
        <v>1000</v>
      </c>
      <c r="G54" s="196">
        <f t="shared" si="11"/>
        <v>500</v>
      </c>
      <c r="H54" s="196">
        <f t="shared" si="11"/>
        <v>4000</v>
      </c>
      <c r="I54" s="196">
        <f t="shared" si="11"/>
        <v>2000</v>
      </c>
      <c r="J54" s="196">
        <f t="shared" si="11"/>
        <v>1000</v>
      </c>
      <c r="K54" s="196">
        <f t="shared" si="11"/>
        <v>1000</v>
      </c>
      <c r="L54" s="196">
        <f t="shared" si="11"/>
        <v>500</v>
      </c>
      <c r="M54" s="196">
        <f t="shared" si="11"/>
        <v>0</v>
      </c>
      <c r="N54" s="196">
        <f t="shared" si="11"/>
        <v>19500</v>
      </c>
    </row>
    <row r="55" spans="1:15" x14ac:dyDescent="0.2">
      <c r="A55" s="197" t="s">
        <v>200</v>
      </c>
      <c r="B55" s="196">
        <f t="shared" ref="B55:N55" si="12">SUM(B54)</f>
        <v>500</v>
      </c>
      <c r="C55" s="196">
        <f t="shared" si="12"/>
        <v>5000</v>
      </c>
      <c r="D55" s="196">
        <f t="shared" si="12"/>
        <v>3000</v>
      </c>
      <c r="E55" s="196">
        <f t="shared" si="12"/>
        <v>1000</v>
      </c>
      <c r="F55" s="196">
        <f t="shared" si="12"/>
        <v>1000</v>
      </c>
      <c r="G55" s="196">
        <f t="shared" si="12"/>
        <v>500</v>
      </c>
      <c r="H55" s="196">
        <f t="shared" si="12"/>
        <v>4000</v>
      </c>
      <c r="I55" s="196">
        <f t="shared" si="12"/>
        <v>2000</v>
      </c>
      <c r="J55" s="196">
        <f t="shared" si="12"/>
        <v>1000</v>
      </c>
      <c r="K55" s="196">
        <f t="shared" si="12"/>
        <v>1000</v>
      </c>
      <c r="L55" s="196">
        <f t="shared" si="12"/>
        <v>500</v>
      </c>
      <c r="M55" s="196">
        <f t="shared" si="12"/>
        <v>0</v>
      </c>
      <c r="N55" s="196">
        <f t="shared" si="12"/>
        <v>19500</v>
      </c>
    </row>
    <row r="56" spans="1:15" x14ac:dyDescent="0.2">
      <c r="A56" s="199" t="s">
        <v>29</v>
      </c>
      <c r="B56" s="200">
        <f t="shared" ref="B56:N56" si="13">B48+B55+0</f>
        <v>-20881.544606402469</v>
      </c>
      <c r="C56" s="200">
        <f t="shared" si="13"/>
        <v>-8414.2360067394438</v>
      </c>
      <c r="D56" s="200">
        <f t="shared" si="13"/>
        <v>-13452.738807076417</v>
      </c>
      <c r="E56" s="200">
        <f t="shared" si="13"/>
        <v>-20711.241607413387</v>
      </c>
      <c r="F56" s="200">
        <f t="shared" si="13"/>
        <v>-18009.744407750361</v>
      </c>
      <c r="G56" s="200">
        <f t="shared" si="13"/>
        <v>-19654.236006739444</v>
      </c>
      <c r="H56" s="200">
        <f t="shared" si="13"/>
        <v>-17409.744407750361</v>
      </c>
      <c r="I56" s="200">
        <f t="shared" si="13"/>
        <v>-18271.241607413387</v>
      </c>
      <c r="J56" s="200">
        <f t="shared" si="13"/>
        <v>-20532.738807076417</v>
      </c>
      <c r="K56" s="200">
        <f t="shared" si="13"/>
        <v>-22809.744407750361</v>
      </c>
      <c r="L56" s="200">
        <f t="shared" si="13"/>
        <v>-21032.738807076417</v>
      </c>
      <c r="M56" s="200">
        <f t="shared" si="13"/>
        <v>-24017.23536241339</v>
      </c>
      <c r="N56" s="200">
        <f t="shared" si="13"/>
        <v>-225197.18484160182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ECFC-9CBE-5E47-A518-3BD9186383B3}">
  <sheetPr codeName="Sheet30">
    <tabColor rgb="FFFFC000"/>
    <pageSetUpPr fitToPage="1"/>
  </sheetPr>
  <dimension ref="A1:N55"/>
  <sheetViews>
    <sheetView topLeftCell="A16" zoomScale="114" workbookViewId="0">
      <selection activeCell="P38" sqref="P38"/>
    </sheetView>
  </sheetViews>
  <sheetFormatPr defaultColWidth="7" defaultRowHeight="11.25" x14ac:dyDescent="0.2"/>
  <cols>
    <col min="1" max="1" width="49" style="81" bestFit="1" customWidth="1"/>
    <col min="2" max="13" width="8.125" style="81" bestFit="1" customWidth="1"/>
    <col min="14" max="14" width="8.875" style="81" bestFit="1" customWidth="1"/>
    <col min="15" max="16384" width="7" style="81"/>
  </cols>
  <sheetData>
    <row r="1" spans="1:14" ht="15.75" x14ac:dyDescent="0.25">
      <c r="A1" s="375" t="s">
        <v>176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18" x14ac:dyDescent="0.25">
      <c r="A2" s="376" t="s">
        <v>177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18" x14ac:dyDescent="0.25">
      <c r="A3" s="376" t="s">
        <v>178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8" x14ac:dyDescent="0.25">
      <c r="A4" s="376" t="s">
        <v>383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ht="18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x14ac:dyDescent="0.2">
      <c r="A6" s="186" t="s">
        <v>181</v>
      </c>
      <c r="B6" s="187">
        <v>45292</v>
      </c>
      <c r="C6" s="187">
        <v>45323</v>
      </c>
      <c r="D6" s="187">
        <v>45352</v>
      </c>
      <c r="E6" s="187">
        <v>45383</v>
      </c>
      <c r="F6" s="187">
        <v>45413</v>
      </c>
      <c r="G6" s="187">
        <v>45444</v>
      </c>
      <c r="H6" s="187">
        <v>45474</v>
      </c>
      <c r="I6" s="187">
        <v>45505</v>
      </c>
      <c r="J6" s="187">
        <v>45536</v>
      </c>
      <c r="K6" s="187">
        <v>45566</v>
      </c>
      <c r="L6" s="187">
        <v>45597</v>
      </c>
      <c r="M6" s="187">
        <v>45627</v>
      </c>
      <c r="N6" s="228" t="s">
        <v>46</v>
      </c>
    </row>
    <row r="7" spans="1:14" s="220" customFormat="1" x14ac:dyDescent="0.2">
      <c r="A7" s="188" t="s">
        <v>184</v>
      </c>
      <c r="B7" s="189" t="s">
        <v>185</v>
      </c>
      <c r="C7" s="189" t="s">
        <v>185</v>
      </c>
      <c r="D7" s="189" t="s">
        <v>185</v>
      </c>
      <c r="E7" s="189" t="s">
        <v>185</v>
      </c>
      <c r="F7" s="189" t="s">
        <v>185</v>
      </c>
      <c r="G7" s="189" t="s">
        <v>185</v>
      </c>
      <c r="H7" s="189" t="s">
        <v>185</v>
      </c>
      <c r="I7" s="189" t="s">
        <v>185</v>
      </c>
      <c r="J7" s="189" t="s">
        <v>185</v>
      </c>
      <c r="K7" s="189" t="s">
        <v>185</v>
      </c>
      <c r="L7" s="189" t="s">
        <v>185</v>
      </c>
      <c r="M7" s="189" t="s">
        <v>185</v>
      </c>
      <c r="N7" s="189" t="s">
        <v>185</v>
      </c>
    </row>
    <row r="8" spans="1:14" x14ac:dyDescent="0.2">
      <c r="A8" s="190" t="s">
        <v>240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4" x14ac:dyDescent="0.2">
      <c r="A9" s="192" t="s">
        <v>245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x14ac:dyDescent="0.2">
      <c r="A10" s="193" t="s">
        <v>375</v>
      </c>
      <c r="B10" s="165">
        <v>0</v>
      </c>
      <c r="C10" s="165">
        <v>300</v>
      </c>
      <c r="D10" s="165">
        <v>200</v>
      </c>
      <c r="E10" s="165">
        <v>0</v>
      </c>
      <c r="F10" s="165">
        <v>0</v>
      </c>
      <c r="G10" s="165">
        <v>0</v>
      </c>
      <c r="H10" s="165">
        <v>300</v>
      </c>
      <c r="I10" s="165">
        <v>200</v>
      </c>
      <c r="J10" s="165">
        <v>0</v>
      </c>
      <c r="K10" s="165">
        <v>0</v>
      </c>
      <c r="L10" s="165">
        <v>0</v>
      </c>
      <c r="M10" s="165">
        <v>0</v>
      </c>
      <c r="N10" s="194">
        <f>SUM(B10:M10)</f>
        <v>1000</v>
      </c>
    </row>
    <row r="11" spans="1:14" x14ac:dyDescent="0.2">
      <c r="A11" s="193" t="s">
        <v>377</v>
      </c>
      <c r="B11" s="194">
        <v>0</v>
      </c>
      <c r="C11" s="194">
        <v>0</v>
      </c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0</v>
      </c>
      <c r="N11" s="194">
        <f>SUM(B11:M11)</f>
        <v>0</v>
      </c>
    </row>
    <row r="12" spans="1:14" x14ac:dyDescent="0.2">
      <c r="A12" s="195" t="s">
        <v>247</v>
      </c>
      <c r="B12" s="196">
        <f t="shared" ref="B12:N12" si="0">SUM(B10:B11)</f>
        <v>0</v>
      </c>
      <c r="C12" s="196">
        <f t="shared" si="0"/>
        <v>300</v>
      </c>
      <c r="D12" s="196">
        <f t="shared" si="0"/>
        <v>200</v>
      </c>
      <c r="E12" s="196">
        <f t="shared" si="0"/>
        <v>0</v>
      </c>
      <c r="F12" s="196">
        <f t="shared" si="0"/>
        <v>0</v>
      </c>
      <c r="G12" s="196">
        <f t="shared" si="0"/>
        <v>0</v>
      </c>
      <c r="H12" s="196">
        <f t="shared" si="0"/>
        <v>300</v>
      </c>
      <c r="I12" s="196">
        <f t="shared" si="0"/>
        <v>200</v>
      </c>
      <c r="J12" s="196">
        <f t="shared" si="0"/>
        <v>0</v>
      </c>
      <c r="K12" s="196">
        <f t="shared" si="0"/>
        <v>0</v>
      </c>
      <c r="L12" s="196">
        <f t="shared" si="0"/>
        <v>0</v>
      </c>
      <c r="M12" s="196">
        <f t="shared" si="0"/>
        <v>0</v>
      </c>
      <c r="N12" s="196">
        <f t="shared" si="0"/>
        <v>1000</v>
      </c>
    </row>
    <row r="13" spans="1:14" x14ac:dyDescent="0.2">
      <c r="A13" s="197" t="s">
        <v>248</v>
      </c>
      <c r="B13" s="196">
        <f t="shared" ref="B13:N13" si="1">SUM(B12)</f>
        <v>0</v>
      </c>
      <c r="C13" s="196">
        <f t="shared" si="1"/>
        <v>300</v>
      </c>
      <c r="D13" s="196">
        <f t="shared" si="1"/>
        <v>200</v>
      </c>
      <c r="E13" s="196">
        <f t="shared" si="1"/>
        <v>0</v>
      </c>
      <c r="F13" s="196">
        <f t="shared" si="1"/>
        <v>0</v>
      </c>
      <c r="G13" s="196">
        <f t="shared" si="1"/>
        <v>0</v>
      </c>
      <c r="H13" s="196">
        <f t="shared" si="1"/>
        <v>300</v>
      </c>
      <c r="I13" s="196">
        <f t="shared" si="1"/>
        <v>200</v>
      </c>
      <c r="J13" s="196">
        <f t="shared" si="1"/>
        <v>0</v>
      </c>
      <c r="K13" s="196">
        <f t="shared" si="1"/>
        <v>0</v>
      </c>
      <c r="L13" s="196">
        <f t="shared" si="1"/>
        <v>0</v>
      </c>
      <c r="M13" s="196">
        <f t="shared" si="1"/>
        <v>0</v>
      </c>
      <c r="N13" s="196">
        <f t="shared" si="1"/>
        <v>1000</v>
      </c>
    </row>
    <row r="14" spans="1:14" x14ac:dyDescent="0.2">
      <c r="A14" s="190" t="s">
        <v>249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</row>
    <row r="15" spans="1:14" x14ac:dyDescent="0.2">
      <c r="A15" s="198" t="s">
        <v>250</v>
      </c>
      <c r="B15" s="165">
        <v>0</v>
      </c>
      <c r="C15" s="165">
        <v>500</v>
      </c>
      <c r="D15" s="165">
        <v>500</v>
      </c>
      <c r="E15" s="165">
        <v>0</v>
      </c>
      <c r="F15" s="165">
        <v>0</v>
      </c>
      <c r="G15" s="165">
        <v>0</v>
      </c>
      <c r="H15" s="165">
        <v>500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94">
        <f>SUM(B15:M15)</f>
        <v>1500</v>
      </c>
    </row>
    <row r="16" spans="1:14" x14ac:dyDescent="0.2">
      <c r="A16" s="197" t="s">
        <v>251</v>
      </c>
      <c r="B16" s="196">
        <f t="shared" ref="B16:N16" si="2">SUM(B15)</f>
        <v>0</v>
      </c>
      <c r="C16" s="196">
        <f t="shared" si="2"/>
        <v>500</v>
      </c>
      <c r="D16" s="196">
        <f t="shared" si="2"/>
        <v>500</v>
      </c>
      <c r="E16" s="196">
        <f t="shared" si="2"/>
        <v>0</v>
      </c>
      <c r="F16" s="196">
        <f t="shared" si="2"/>
        <v>0</v>
      </c>
      <c r="G16" s="196">
        <f t="shared" si="2"/>
        <v>0</v>
      </c>
      <c r="H16" s="196">
        <f t="shared" si="2"/>
        <v>500</v>
      </c>
      <c r="I16" s="196">
        <f t="shared" si="2"/>
        <v>0</v>
      </c>
      <c r="J16" s="196">
        <f t="shared" si="2"/>
        <v>0</v>
      </c>
      <c r="K16" s="196">
        <f t="shared" si="2"/>
        <v>0</v>
      </c>
      <c r="L16" s="196">
        <f t="shared" si="2"/>
        <v>0</v>
      </c>
      <c r="M16" s="196">
        <f t="shared" si="2"/>
        <v>0</v>
      </c>
      <c r="N16" s="196">
        <f t="shared" si="2"/>
        <v>1500</v>
      </c>
    </row>
    <row r="17" spans="1:14" x14ac:dyDescent="0.2">
      <c r="A17" s="199" t="s">
        <v>187</v>
      </c>
      <c r="B17" s="200">
        <f t="shared" ref="B17:N17" si="3">B13-B16</f>
        <v>0</v>
      </c>
      <c r="C17" s="200">
        <f t="shared" si="3"/>
        <v>-200</v>
      </c>
      <c r="D17" s="200">
        <f t="shared" si="3"/>
        <v>-300</v>
      </c>
      <c r="E17" s="200">
        <f t="shared" si="3"/>
        <v>0</v>
      </c>
      <c r="F17" s="200">
        <f t="shared" si="3"/>
        <v>0</v>
      </c>
      <c r="G17" s="200">
        <f t="shared" si="3"/>
        <v>0</v>
      </c>
      <c r="H17" s="200">
        <f t="shared" si="3"/>
        <v>-200</v>
      </c>
      <c r="I17" s="200">
        <f t="shared" si="3"/>
        <v>200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-500</v>
      </c>
    </row>
    <row r="18" spans="1:14" x14ac:dyDescent="0.2">
      <c r="A18" s="190" t="s">
        <v>188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 x14ac:dyDescent="0.2">
      <c r="A19" s="192" t="s">
        <v>189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x14ac:dyDescent="0.2">
      <c r="A20" s="193" t="s">
        <v>378</v>
      </c>
      <c r="B20" s="194">
        <v>20000</v>
      </c>
      <c r="C20" s="194">
        <v>0</v>
      </c>
      <c r="D20" s="194">
        <v>0</v>
      </c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f t="shared" ref="N20:N36" si="4">SUM(B20:M20)</f>
        <v>20000</v>
      </c>
    </row>
    <row r="21" spans="1:14" x14ac:dyDescent="0.2">
      <c r="A21" s="193" t="s">
        <v>358</v>
      </c>
      <c r="B21" s="165">
        <v>2000</v>
      </c>
      <c r="C21" s="165">
        <v>500</v>
      </c>
      <c r="D21" s="165">
        <v>0</v>
      </c>
      <c r="E21" s="165">
        <v>0</v>
      </c>
      <c r="F21" s="165">
        <v>0</v>
      </c>
      <c r="G21" s="165">
        <v>0</v>
      </c>
      <c r="H21" s="165">
        <v>500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94">
        <f t="shared" si="4"/>
        <v>3000</v>
      </c>
    </row>
    <row r="22" spans="1:14" x14ac:dyDescent="0.2">
      <c r="A22" s="193" t="s">
        <v>379</v>
      </c>
      <c r="B22" s="165">
        <v>1100</v>
      </c>
      <c r="C22" s="165">
        <v>0</v>
      </c>
      <c r="D22" s="165">
        <v>0</v>
      </c>
      <c r="E22" s="165">
        <v>0</v>
      </c>
      <c r="F22" s="165">
        <v>0</v>
      </c>
      <c r="G22" s="165">
        <v>0</v>
      </c>
      <c r="H22" s="165">
        <v>500</v>
      </c>
      <c r="I22" s="165">
        <v>0</v>
      </c>
      <c r="J22" s="165">
        <v>0</v>
      </c>
      <c r="K22" s="165">
        <v>0</v>
      </c>
      <c r="L22" s="165">
        <v>2200</v>
      </c>
      <c r="M22" s="165">
        <v>0</v>
      </c>
      <c r="N22" s="194">
        <f t="shared" si="4"/>
        <v>3800</v>
      </c>
    </row>
    <row r="23" spans="1:14" x14ac:dyDescent="0.2">
      <c r="A23" s="193" t="s">
        <v>335</v>
      </c>
      <c r="B23" s="165">
        <v>0</v>
      </c>
      <c r="C23" s="165">
        <v>1000</v>
      </c>
      <c r="D23" s="165">
        <v>1000</v>
      </c>
      <c r="E23" s="165">
        <v>0</v>
      </c>
      <c r="F23" s="165">
        <v>0</v>
      </c>
      <c r="G23" s="165">
        <v>0</v>
      </c>
      <c r="H23" s="165">
        <v>1000</v>
      </c>
      <c r="I23" s="165">
        <v>500</v>
      </c>
      <c r="J23" s="165">
        <v>0</v>
      </c>
      <c r="K23" s="165">
        <v>0</v>
      </c>
      <c r="L23" s="165">
        <v>0</v>
      </c>
      <c r="M23" s="165">
        <v>0</v>
      </c>
      <c r="N23" s="194">
        <f t="shared" si="4"/>
        <v>3500</v>
      </c>
    </row>
    <row r="24" spans="1:14" x14ac:dyDescent="0.2">
      <c r="A24" s="193" t="s">
        <v>341</v>
      </c>
      <c r="B24" s="194">
        <v>0</v>
      </c>
      <c r="C24" s="194">
        <v>500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500</v>
      </c>
      <c r="K24" s="194">
        <v>0</v>
      </c>
      <c r="L24" s="194">
        <v>0</v>
      </c>
      <c r="M24" s="194">
        <v>0</v>
      </c>
      <c r="N24" s="194">
        <f t="shared" si="4"/>
        <v>1000</v>
      </c>
    </row>
    <row r="25" spans="1:14" x14ac:dyDescent="0.2">
      <c r="A25" s="193" t="s">
        <v>25</v>
      </c>
      <c r="B25" s="165">
        <v>500</v>
      </c>
      <c r="C25" s="165">
        <v>1000</v>
      </c>
      <c r="D25" s="165">
        <v>500</v>
      </c>
      <c r="E25" s="165">
        <v>500</v>
      </c>
      <c r="F25" s="165">
        <v>500</v>
      </c>
      <c r="G25" s="165">
        <v>500</v>
      </c>
      <c r="H25" s="165">
        <v>1000</v>
      </c>
      <c r="I25" s="165">
        <v>500</v>
      </c>
      <c r="J25" s="165">
        <v>500</v>
      </c>
      <c r="K25" s="165">
        <v>500</v>
      </c>
      <c r="L25" s="165">
        <v>500</v>
      </c>
      <c r="M25" s="165">
        <v>500</v>
      </c>
      <c r="N25" s="194">
        <f t="shared" si="4"/>
        <v>7000</v>
      </c>
    </row>
    <row r="26" spans="1:14" x14ac:dyDescent="0.2">
      <c r="A26" s="193" t="s">
        <v>206</v>
      </c>
      <c r="B26" s="194">
        <v>131</v>
      </c>
      <c r="C26" s="194">
        <v>131</v>
      </c>
      <c r="D26" s="194">
        <v>131</v>
      </c>
      <c r="E26" s="194">
        <v>131</v>
      </c>
      <c r="F26" s="194">
        <v>131</v>
      </c>
      <c r="G26" s="194">
        <v>131</v>
      </c>
      <c r="H26" s="194">
        <v>131</v>
      </c>
      <c r="I26" s="194">
        <v>131</v>
      </c>
      <c r="J26" s="194">
        <v>131</v>
      </c>
      <c r="K26" s="194">
        <v>131</v>
      </c>
      <c r="L26" s="194">
        <v>131</v>
      </c>
      <c r="M26" s="194">
        <v>131</v>
      </c>
      <c r="N26" s="194">
        <f t="shared" si="4"/>
        <v>1572</v>
      </c>
    </row>
    <row r="27" spans="1:14" x14ac:dyDescent="0.2">
      <c r="A27" s="193" t="s">
        <v>207</v>
      </c>
      <c r="B27" s="194">
        <v>20</v>
      </c>
      <c r="C27" s="194">
        <v>20</v>
      </c>
      <c r="D27" s="194">
        <v>20</v>
      </c>
      <c r="E27" s="194">
        <v>20</v>
      </c>
      <c r="F27" s="194">
        <v>20</v>
      </c>
      <c r="G27" s="194">
        <v>20</v>
      </c>
      <c r="H27" s="194">
        <v>20</v>
      </c>
      <c r="I27" s="194">
        <v>20</v>
      </c>
      <c r="J27" s="194">
        <v>20</v>
      </c>
      <c r="K27" s="194">
        <v>20</v>
      </c>
      <c r="L27" s="194">
        <v>20</v>
      </c>
      <c r="M27" s="194">
        <v>20</v>
      </c>
      <c r="N27" s="194">
        <f t="shared" si="4"/>
        <v>240</v>
      </c>
    </row>
    <row r="28" spans="1:14" x14ac:dyDescent="0.2">
      <c r="A28" s="193" t="s">
        <v>208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f t="shared" si="4"/>
        <v>0</v>
      </c>
    </row>
    <row r="29" spans="1:14" x14ac:dyDescent="0.2">
      <c r="A29" s="193" t="s">
        <v>257</v>
      </c>
      <c r="B29" s="194">
        <v>20</v>
      </c>
      <c r="C29" s="194">
        <v>20</v>
      </c>
      <c r="D29" s="194">
        <v>20</v>
      </c>
      <c r="E29" s="194">
        <v>20</v>
      </c>
      <c r="F29" s="194">
        <v>20</v>
      </c>
      <c r="G29" s="194">
        <v>20</v>
      </c>
      <c r="H29" s="194">
        <v>20</v>
      </c>
      <c r="I29" s="194">
        <v>20</v>
      </c>
      <c r="J29" s="194">
        <v>20</v>
      </c>
      <c r="K29" s="194">
        <v>20</v>
      </c>
      <c r="L29" s="194">
        <v>20</v>
      </c>
      <c r="M29" s="194">
        <v>20</v>
      </c>
      <c r="N29" s="194">
        <f t="shared" si="4"/>
        <v>240</v>
      </c>
    </row>
    <row r="30" spans="1:14" x14ac:dyDescent="0.2">
      <c r="A30" s="193" t="s">
        <v>260</v>
      </c>
      <c r="B30" s="194">
        <v>50</v>
      </c>
      <c r="C30" s="194">
        <v>50</v>
      </c>
      <c r="D30" s="194">
        <v>50</v>
      </c>
      <c r="E30" s="194">
        <v>50</v>
      </c>
      <c r="F30" s="194">
        <v>50</v>
      </c>
      <c r="G30" s="194">
        <v>50</v>
      </c>
      <c r="H30" s="194">
        <v>50</v>
      </c>
      <c r="I30" s="194">
        <v>50</v>
      </c>
      <c r="J30" s="194">
        <v>50</v>
      </c>
      <c r="K30" s="194">
        <v>50</v>
      </c>
      <c r="L30" s="194">
        <v>50</v>
      </c>
      <c r="M30" s="194">
        <v>50</v>
      </c>
      <c r="N30" s="194">
        <f t="shared" si="4"/>
        <v>600</v>
      </c>
    </row>
    <row r="31" spans="1:14" x14ac:dyDescent="0.2">
      <c r="A31" s="229" t="s">
        <v>263</v>
      </c>
      <c r="B31" s="194">
        <v>15</v>
      </c>
      <c r="C31" s="194">
        <v>15</v>
      </c>
      <c r="D31" s="194">
        <v>15</v>
      </c>
      <c r="E31" s="194">
        <v>15</v>
      </c>
      <c r="F31" s="194">
        <v>15</v>
      </c>
      <c r="G31" s="194">
        <v>15</v>
      </c>
      <c r="H31" s="194">
        <v>15</v>
      </c>
      <c r="I31" s="194">
        <v>15</v>
      </c>
      <c r="J31" s="194">
        <v>15</v>
      </c>
      <c r="K31" s="194">
        <v>15</v>
      </c>
      <c r="L31" s="194">
        <v>15</v>
      </c>
      <c r="M31" s="194">
        <v>15</v>
      </c>
      <c r="N31" s="194">
        <f t="shared" si="4"/>
        <v>180</v>
      </c>
    </row>
    <row r="32" spans="1:14" x14ac:dyDescent="0.2">
      <c r="A32" s="193" t="s">
        <v>267</v>
      </c>
      <c r="B32" s="194">
        <v>900</v>
      </c>
      <c r="C32" s="194">
        <v>500</v>
      </c>
      <c r="D32" s="194">
        <v>500</v>
      </c>
      <c r="E32" s="194">
        <v>500</v>
      </c>
      <c r="F32" s="194">
        <v>900</v>
      </c>
      <c r="G32" s="194">
        <v>500</v>
      </c>
      <c r="H32" s="194">
        <v>500</v>
      </c>
      <c r="I32" s="194">
        <v>500</v>
      </c>
      <c r="J32" s="194">
        <v>900</v>
      </c>
      <c r="K32" s="194">
        <v>500</v>
      </c>
      <c r="L32" s="194">
        <v>500</v>
      </c>
      <c r="M32" s="194">
        <v>900</v>
      </c>
      <c r="N32" s="194">
        <f t="shared" si="4"/>
        <v>7600</v>
      </c>
    </row>
    <row r="33" spans="1:14" x14ac:dyDescent="0.2">
      <c r="A33" s="229" t="s">
        <v>213</v>
      </c>
      <c r="B33" s="194">
        <v>719.33</v>
      </c>
      <c r="C33" s="194">
        <v>719.33</v>
      </c>
      <c r="D33" s="194">
        <v>719.33</v>
      </c>
      <c r="E33" s="194">
        <v>719.33</v>
      </c>
      <c r="F33" s="194">
        <v>719.33</v>
      </c>
      <c r="G33" s="194">
        <v>719.33</v>
      </c>
      <c r="H33" s="194">
        <v>719.33</v>
      </c>
      <c r="I33" s="194">
        <v>719.33</v>
      </c>
      <c r="J33" s="194">
        <v>719.33</v>
      </c>
      <c r="K33" s="194">
        <v>719.33</v>
      </c>
      <c r="L33" s="194">
        <v>719.33</v>
      </c>
      <c r="M33" s="194">
        <v>719.33</v>
      </c>
      <c r="N33" s="194">
        <f t="shared" si="4"/>
        <v>8631.9600000000009</v>
      </c>
    </row>
    <row r="34" spans="1:14" x14ac:dyDescent="0.2">
      <c r="A34" s="229" t="s">
        <v>268</v>
      </c>
      <c r="B34" s="230">
        <v>182.02</v>
      </c>
      <c r="C34" s="230">
        <v>182.02</v>
      </c>
      <c r="D34" s="230">
        <v>182.02</v>
      </c>
      <c r="E34" s="230">
        <v>182.02</v>
      </c>
      <c r="F34" s="230">
        <v>182.02</v>
      </c>
      <c r="G34" s="230">
        <v>182.02</v>
      </c>
      <c r="H34" s="230">
        <v>182.02</v>
      </c>
      <c r="I34" s="230">
        <v>182.02</v>
      </c>
      <c r="J34" s="230">
        <v>182.02</v>
      </c>
      <c r="K34" s="230">
        <v>182.02</v>
      </c>
      <c r="L34" s="230">
        <v>182.02</v>
      </c>
      <c r="M34" s="230">
        <v>182.02</v>
      </c>
      <c r="N34" s="194">
        <f t="shared" si="4"/>
        <v>2184.2400000000002</v>
      </c>
    </row>
    <row r="35" spans="1:14" x14ac:dyDescent="0.2">
      <c r="A35" s="229" t="s">
        <v>215</v>
      </c>
      <c r="B35" s="230">
        <v>5.44</v>
      </c>
      <c r="C35" s="230">
        <v>5.44</v>
      </c>
      <c r="D35" s="230">
        <v>5.44</v>
      </c>
      <c r="E35" s="230">
        <v>5.44</v>
      </c>
      <c r="F35" s="230">
        <v>5.44</v>
      </c>
      <c r="G35" s="230">
        <v>5.44</v>
      </c>
      <c r="H35" s="230">
        <v>5.44</v>
      </c>
      <c r="I35" s="230">
        <v>5.44</v>
      </c>
      <c r="J35" s="230">
        <v>5.44</v>
      </c>
      <c r="K35" s="230">
        <v>5.44</v>
      </c>
      <c r="L35" s="230">
        <v>5.44</v>
      </c>
      <c r="M35" s="230">
        <v>5.44</v>
      </c>
      <c r="N35" s="194">
        <f t="shared" si="4"/>
        <v>65.279999999999987</v>
      </c>
    </row>
    <row r="36" spans="1:14" x14ac:dyDescent="0.2">
      <c r="A36" s="229" t="s">
        <v>365</v>
      </c>
      <c r="B36" s="230">
        <v>225.36</v>
      </c>
      <c r="C36" s="230">
        <v>225.36</v>
      </c>
      <c r="D36" s="230">
        <v>225.36</v>
      </c>
      <c r="E36" s="230">
        <v>225.36</v>
      </c>
      <c r="F36" s="230">
        <v>225.36</v>
      </c>
      <c r="G36" s="230">
        <v>225.36</v>
      </c>
      <c r="H36" s="230">
        <v>225.36</v>
      </c>
      <c r="I36" s="230">
        <v>225.36</v>
      </c>
      <c r="J36" s="230">
        <v>225.36</v>
      </c>
      <c r="K36" s="230">
        <v>225.36</v>
      </c>
      <c r="L36" s="230">
        <v>225.36</v>
      </c>
      <c r="M36" s="230">
        <v>225.36</v>
      </c>
      <c r="N36" s="194">
        <f t="shared" si="4"/>
        <v>2704.3200000000011</v>
      </c>
    </row>
    <row r="37" spans="1:14" x14ac:dyDescent="0.2">
      <c r="A37" s="195" t="s">
        <v>190</v>
      </c>
      <c r="B37" s="196">
        <f t="shared" ref="B37:N37" si="5">SUM(B20:B36)</f>
        <v>25868.15</v>
      </c>
      <c r="C37" s="196">
        <f t="shared" si="5"/>
        <v>4868.1499999999996</v>
      </c>
      <c r="D37" s="196">
        <f t="shared" si="5"/>
        <v>3368.15</v>
      </c>
      <c r="E37" s="196">
        <f t="shared" si="5"/>
        <v>2368.15</v>
      </c>
      <c r="F37" s="196">
        <f t="shared" si="5"/>
        <v>2768.15</v>
      </c>
      <c r="G37" s="196">
        <f t="shared" si="5"/>
        <v>2368.15</v>
      </c>
      <c r="H37" s="196">
        <f t="shared" si="5"/>
        <v>4868.1499999999996</v>
      </c>
      <c r="I37" s="196">
        <f t="shared" si="5"/>
        <v>2868.15</v>
      </c>
      <c r="J37" s="196">
        <f t="shared" si="5"/>
        <v>3268.15</v>
      </c>
      <c r="K37" s="196">
        <f t="shared" si="5"/>
        <v>2368.15</v>
      </c>
      <c r="L37" s="196">
        <f t="shared" si="5"/>
        <v>4568.1499999999996</v>
      </c>
      <c r="M37" s="196">
        <f t="shared" si="5"/>
        <v>2768.15</v>
      </c>
      <c r="N37" s="196">
        <f t="shared" si="5"/>
        <v>62317.799999999996</v>
      </c>
    </row>
    <row r="38" spans="1:14" x14ac:dyDescent="0.2">
      <c r="A38" s="192" t="s">
        <v>216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</row>
    <row r="39" spans="1:14" x14ac:dyDescent="0.2">
      <c r="A39" s="193" t="s">
        <v>217</v>
      </c>
      <c r="B39" s="194">
        <v>7172.264336420234</v>
      </c>
      <c r="C39" s="194">
        <v>7549.7519330739306</v>
      </c>
      <c r="D39" s="194">
        <v>7927.2395297276271</v>
      </c>
      <c r="E39" s="194">
        <v>8304.7271263813236</v>
      </c>
      <c r="F39" s="194">
        <v>8682.2147230350201</v>
      </c>
      <c r="G39" s="194">
        <v>7549.7519330739306</v>
      </c>
      <c r="H39" s="194">
        <v>8682.2147230350201</v>
      </c>
      <c r="I39" s="194">
        <v>8304.7271263813236</v>
      </c>
      <c r="J39" s="194">
        <v>7927.2395297276271</v>
      </c>
      <c r="K39" s="194">
        <v>8682.2147230350201</v>
      </c>
      <c r="L39" s="194">
        <v>7927.2395297276271</v>
      </c>
      <c r="M39" s="194">
        <v>12709.054478881324</v>
      </c>
      <c r="N39" s="194">
        <f t="shared" ref="N39:N44" si="6">SUM(B39:M39)</f>
        <v>101418.63969250002</v>
      </c>
    </row>
    <row r="40" spans="1:14" x14ac:dyDescent="0.2">
      <c r="A40" s="193" t="s">
        <v>218</v>
      </c>
      <c r="B40" s="194">
        <v>1479.9659221177965</v>
      </c>
      <c r="C40" s="194">
        <v>1557.8588653871541</v>
      </c>
      <c r="D40" s="194">
        <v>1635.7518086565119</v>
      </c>
      <c r="E40" s="194">
        <v>1713.6447519258695</v>
      </c>
      <c r="F40" s="194">
        <v>1791.5376951952271</v>
      </c>
      <c r="G40" s="194">
        <v>1557.8588653871541</v>
      </c>
      <c r="H40" s="194">
        <v>1791.5376951952271</v>
      </c>
      <c r="I40" s="194">
        <v>1713.6447519258695</v>
      </c>
      <c r="J40" s="194">
        <v>1635.7518086565119</v>
      </c>
      <c r="K40" s="194">
        <v>1791.5376951952271</v>
      </c>
      <c r="L40" s="194">
        <v>1635.7518086565119</v>
      </c>
      <c r="M40" s="194">
        <v>1713.6447519258695</v>
      </c>
      <c r="N40" s="194">
        <f t="shared" si="6"/>
        <v>20018.48642022493</v>
      </c>
    </row>
    <row r="41" spans="1:14" x14ac:dyDescent="0.2">
      <c r="A41" s="193" t="s">
        <v>219</v>
      </c>
      <c r="B41" s="194">
        <v>75.99825005469765</v>
      </c>
      <c r="C41" s="194">
        <v>79.998157952313321</v>
      </c>
      <c r="D41" s="194">
        <v>83.998065849928977</v>
      </c>
      <c r="E41" s="194">
        <v>87.997973747544648</v>
      </c>
      <c r="F41" s="194">
        <v>91.997881645160319</v>
      </c>
      <c r="G41" s="194">
        <v>79.998157952313321</v>
      </c>
      <c r="H41" s="194">
        <v>91.997881645160319</v>
      </c>
      <c r="I41" s="194">
        <v>87.997973747544648</v>
      </c>
      <c r="J41" s="194">
        <v>83.998065849928977</v>
      </c>
      <c r="K41" s="194">
        <v>91.997881645160319</v>
      </c>
      <c r="L41" s="194">
        <v>83.998065849928977</v>
      </c>
      <c r="M41" s="194">
        <v>87.997973747544648</v>
      </c>
      <c r="N41" s="194">
        <f t="shared" si="6"/>
        <v>1027.9763296872261</v>
      </c>
    </row>
    <row r="42" spans="1:14" x14ac:dyDescent="0.2">
      <c r="A42" s="193" t="s">
        <v>220</v>
      </c>
      <c r="B42" s="194">
        <v>770.51345040059232</v>
      </c>
      <c r="C42" s="194">
        <v>682.36300042167613</v>
      </c>
      <c r="D42" s="194">
        <v>716.48115044275994</v>
      </c>
      <c r="E42" s="194">
        <v>750.59930046384375</v>
      </c>
      <c r="F42" s="194">
        <v>784.71745048492755</v>
      </c>
      <c r="G42" s="194">
        <v>682.36300042167613</v>
      </c>
      <c r="H42" s="194">
        <v>784.71745048492755</v>
      </c>
      <c r="I42" s="194">
        <v>750.59930046384375</v>
      </c>
      <c r="J42" s="194">
        <v>716.48115044275994</v>
      </c>
      <c r="K42" s="194">
        <v>784.71745048492755</v>
      </c>
      <c r="L42" s="194">
        <v>716.48115044275994</v>
      </c>
      <c r="M42" s="194">
        <v>750.59930046384375</v>
      </c>
      <c r="N42" s="194">
        <f t="shared" si="6"/>
        <v>8890.6331554185381</v>
      </c>
    </row>
    <row r="43" spans="1:14" x14ac:dyDescent="0.2">
      <c r="A43" s="193" t="s">
        <v>221</v>
      </c>
      <c r="B43" s="194">
        <v>343.96370841050589</v>
      </c>
      <c r="C43" s="194">
        <v>188.74379832684824</v>
      </c>
      <c r="D43" s="194">
        <v>198.18098824319065</v>
      </c>
      <c r="E43" s="194">
        <v>207.61817815953307</v>
      </c>
      <c r="F43" s="194">
        <v>217.05536807587549</v>
      </c>
      <c r="G43" s="194">
        <v>188.74379832684824</v>
      </c>
      <c r="H43" s="194">
        <v>217.05536807587549</v>
      </c>
      <c r="I43" s="194">
        <v>207.61817815953307</v>
      </c>
      <c r="J43" s="194">
        <v>198.18098824319065</v>
      </c>
      <c r="K43" s="194">
        <v>217.05536807587549</v>
      </c>
      <c r="L43" s="194">
        <v>198.18098824319065</v>
      </c>
      <c r="M43" s="194">
        <v>207.61817815953307</v>
      </c>
      <c r="N43" s="194">
        <f t="shared" si="6"/>
        <v>2590.0149085000003</v>
      </c>
    </row>
    <row r="44" spans="1:14" x14ac:dyDescent="0.2">
      <c r="A44" s="193" t="s">
        <v>233</v>
      </c>
      <c r="B44" s="194">
        <v>0</v>
      </c>
      <c r="C44" s="194">
        <v>0</v>
      </c>
      <c r="D44" s="194">
        <v>0</v>
      </c>
      <c r="E44" s="194">
        <v>0</v>
      </c>
      <c r="F44" s="194">
        <v>0</v>
      </c>
      <c r="G44" s="194">
        <v>0</v>
      </c>
      <c r="H44" s="194">
        <v>0</v>
      </c>
      <c r="I44" s="194">
        <v>0</v>
      </c>
      <c r="J44" s="194">
        <v>0</v>
      </c>
      <c r="K44" s="194">
        <v>0</v>
      </c>
      <c r="L44" s="194">
        <v>0</v>
      </c>
      <c r="M44" s="194">
        <v>0</v>
      </c>
      <c r="N44" s="194">
        <f t="shared" si="6"/>
        <v>0</v>
      </c>
    </row>
    <row r="45" spans="1:14" x14ac:dyDescent="0.2">
      <c r="A45" s="195" t="s">
        <v>222</v>
      </c>
      <c r="B45" s="196">
        <f t="shared" ref="B45:N45" si="7">SUM(B39:B44)</f>
        <v>9842.7056674038267</v>
      </c>
      <c r="C45" s="196">
        <f t="shared" si="7"/>
        <v>10058.715755161922</v>
      </c>
      <c r="D45" s="196">
        <f t="shared" si="7"/>
        <v>10561.651542920019</v>
      </c>
      <c r="E45" s="196">
        <f t="shared" si="7"/>
        <v>11064.587330678114</v>
      </c>
      <c r="F45" s="196">
        <f t="shared" si="7"/>
        <v>11567.523118436211</v>
      </c>
      <c r="G45" s="196">
        <f t="shared" si="7"/>
        <v>10058.715755161922</v>
      </c>
      <c r="H45" s="196">
        <f t="shared" si="7"/>
        <v>11567.523118436211</v>
      </c>
      <c r="I45" s="196">
        <f t="shared" si="7"/>
        <v>11064.587330678114</v>
      </c>
      <c r="J45" s="196">
        <f t="shared" si="7"/>
        <v>10561.651542920019</v>
      </c>
      <c r="K45" s="196">
        <f t="shared" si="7"/>
        <v>11567.523118436211</v>
      </c>
      <c r="L45" s="196">
        <f t="shared" si="7"/>
        <v>10561.651542920019</v>
      </c>
      <c r="M45" s="196">
        <f t="shared" si="7"/>
        <v>15468.914683178115</v>
      </c>
      <c r="N45" s="196">
        <f t="shared" si="7"/>
        <v>133945.75050633069</v>
      </c>
    </row>
    <row r="46" spans="1:14" x14ac:dyDescent="0.2">
      <c r="A46" s="197" t="s">
        <v>191</v>
      </c>
      <c r="B46" s="196">
        <f t="shared" ref="B46:N46" si="8">SUM(B37,B45)</f>
        <v>35710.855667403826</v>
      </c>
      <c r="C46" s="196">
        <f t="shared" si="8"/>
        <v>14926.865755161922</v>
      </c>
      <c r="D46" s="196">
        <f t="shared" si="8"/>
        <v>13929.801542920019</v>
      </c>
      <c r="E46" s="196">
        <f t="shared" si="8"/>
        <v>13432.737330678114</v>
      </c>
      <c r="F46" s="196">
        <f t="shared" si="8"/>
        <v>14335.673118436211</v>
      </c>
      <c r="G46" s="196">
        <f t="shared" si="8"/>
        <v>12426.865755161922</v>
      </c>
      <c r="H46" s="196">
        <f t="shared" si="8"/>
        <v>16435.673118436211</v>
      </c>
      <c r="I46" s="196">
        <f t="shared" si="8"/>
        <v>13932.737330678114</v>
      </c>
      <c r="J46" s="196">
        <f t="shared" si="8"/>
        <v>13829.801542920019</v>
      </c>
      <c r="K46" s="196">
        <f t="shared" si="8"/>
        <v>13935.673118436211</v>
      </c>
      <c r="L46" s="196">
        <f t="shared" si="8"/>
        <v>15129.801542920019</v>
      </c>
      <c r="M46" s="196">
        <f t="shared" si="8"/>
        <v>18237.064683178116</v>
      </c>
      <c r="N46" s="196">
        <f t="shared" si="8"/>
        <v>196263.55050633068</v>
      </c>
    </row>
    <row r="47" spans="1:14" x14ac:dyDescent="0.2">
      <c r="A47" s="199" t="s">
        <v>192</v>
      </c>
      <c r="B47" s="200">
        <f t="shared" ref="B47:N47" si="9">B17-B46</f>
        <v>-35710.855667403826</v>
      </c>
      <c r="C47" s="200">
        <f t="shared" si="9"/>
        <v>-15126.865755161922</v>
      </c>
      <c r="D47" s="200">
        <f t="shared" si="9"/>
        <v>-14229.801542920019</v>
      </c>
      <c r="E47" s="200">
        <f t="shared" si="9"/>
        <v>-13432.737330678114</v>
      </c>
      <c r="F47" s="200">
        <f t="shared" si="9"/>
        <v>-14335.673118436211</v>
      </c>
      <c r="G47" s="200">
        <f t="shared" si="9"/>
        <v>-12426.865755161922</v>
      </c>
      <c r="H47" s="200">
        <f t="shared" si="9"/>
        <v>-16635.673118436211</v>
      </c>
      <c r="I47" s="200">
        <f t="shared" si="9"/>
        <v>-13732.737330678114</v>
      </c>
      <c r="J47" s="200">
        <f t="shared" si="9"/>
        <v>-13829.801542920019</v>
      </c>
      <c r="K47" s="200">
        <f t="shared" si="9"/>
        <v>-13935.673118436211</v>
      </c>
      <c r="L47" s="200">
        <f t="shared" si="9"/>
        <v>-15129.801542920019</v>
      </c>
      <c r="M47" s="200">
        <f t="shared" si="9"/>
        <v>-18237.064683178116</v>
      </c>
      <c r="N47" s="200">
        <f t="shared" si="9"/>
        <v>-196763.55050633068</v>
      </c>
    </row>
    <row r="48" spans="1:14" x14ac:dyDescent="0.2">
      <c r="A48" s="190" t="s">
        <v>193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</row>
    <row r="49" spans="1:14" x14ac:dyDescent="0.2">
      <c r="A49" s="192" t="s">
        <v>196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</row>
    <row r="50" spans="1:14" x14ac:dyDescent="0.2">
      <c r="A50" s="193" t="s">
        <v>270</v>
      </c>
      <c r="B50" s="165">
        <v>1050</v>
      </c>
      <c r="C50" s="165">
        <v>3500</v>
      </c>
      <c r="D50" s="165">
        <v>5000</v>
      </c>
      <c r="E50" s="165">
        <v>3000</v>
      </c>
      <c r="F50" s="165">
        <v>2800</v>
      </c>
      <c r="G50" s="165">
        <v>3000</v>
      </c>
      <c r="H50" s="165">
        <v>3600</v>
      </c>
      <c r="I50" s="165">
        <v>0</v>
      </c>
      <c r="J50" s="165">
        <v>900</v>
      </c>
      <c r="K50" s="194">
        <v>170</v>
      </c>
      <c r="L50" s="194">
        <v>100</v>
      </c>
      <c r="M50" s="194">
        <v>30</v>
      </c>
      <c r="N50" s="194">
        <f>SUM(B50:M50)</f>
        <v>23150</v>
      </c>
    </row>
    <row r="51" spans="1:14" x14ac:dyDescent="0.2">
      <c r="A51" s="193" t="s">
        <v>382</v>
      </c>
      <c r="B51" s="165">
        <v>5000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94">
        <v>0</v>
      </c>
      <c r="L51" s="194">
        <v>0</v>
      </c>
      <c r="M51" s="194">
        <v>0</v>
      </c>
      <c r="N51" s="194">
        <f>SUM(B51:M51)</f>
        <v>5000</v>
      </c>
    </row>
    <row r="52" spans="1:14" x14ac:dyDescent="0.2">
      <c r="A52" s="193" t="s">
        <v>224</v>
      </c>
      <c r="B52" s="165">
        <v>0</v>
      </c>
      <c r="C52" s="165">
        <v>3451.62</v>
      </c>
      <c r="D52" s="165">
        <v>1723.65</v>
      </c>
      <c r="E52" s="165">
        <v>1366.82</v>
      </c>
      <c r="F52" s="165">
        <v>1085.95</v>
      </c>
      <c r="G52" s="165">
        <v>-560</v>
      </c>
      <c r="H52" s="165">
        <v>136.37</v>
      </c>
      <c r="I52" s="165">
        <v>1343.65</v>
      </c>
      <c r="J52" s="165">
        <v>2086.36</v>
      </c>
      <c r="K52" s="194">
        <v>0</v>
      </c>
      <c r="L52" s="194">
        <v>0</v>
      </c>
      <c r="M52" s="194">
        <v>0</v>
      </c>
      <c r="N52" s="194">
        <f>SUM(B52:M52)</f>
        <v>10634.42</v>
      </c>
    </row>
    <row r="53" spans="1:14" x14ac:dyDescent="0.2">
      <c r="A53" s="195" t="s">
        <v>197</v>
      </c>
      <c r="B53" s="196">
        <f t="shared" ref="B53:N53" si="10">SUM(B50:B52)</f>
        <v>6050</v>
      </c>
      <c r="C53" s="196">
        <f t="shared" si="10"/>
        <v>6951.62</v>
      </c>
      <c r="D53" s="196">
        <f t="shared" si="10"/>
        <v>6723.65</v>
      </c>
      <c r="E53" s="196">
        <f t="shared" si="10"/>
        <v>4366.82</v>
      </c>
      <c r="F53" s="196">
        <f t="shared" si="10"/>
        <v>3885.95</v>
      </c>
      <c r="G53" s="196">
        <f t="shared" si="10"/>
        <v>2440</v>
      </c>
      <c r="H53" s="196">
        <f t="shared" si="10"/>
        <v>3736.37</v>
      </c>
      <c r="I53" s="196">
        <f t="shared" si="10"/>
        <v>1343.65</v>
      </c>
      <c r="J53" s="196">
        <f t="shared" si="10"/>
        <v>2986.36</v>
      </c>
      <c r="K53" s="196">
        <f t="shared" si="10"/>
        <v>170</v>
      </c>
      <c r="L53" s="196">
        <f t="shared" si="10"/>
        <v>100</v>
      </c>
      <c r="M53" s="196">
        <f t="shared" si="10"/>
        <v>30</v>
      </c>
      <c r="N53" s="196">
        <f t="shared" si="10"/>
        <v>38784.42</v>
      </c>
    </row>
    <row r="54" spans="1:14" x14ac:dyDescent="0.2">
      <c r="A54" s="197" t="s">
        <v>200</v>
      </c>
      <c r="B54" s="196">
        <f t="shared" ref="B54:N54" si="11">SUM(B53)</f>
        <v>6050</v>
      </c>
      <c r="C54" s="196">
        <f t="shared" si="11"/>
        <v>6951.62</v>
      </c>
      <c r="D54" s="196">
        <f t="shared" si="11"/>
        <v>6723.65</v>
      </c>
      <c r="E54" s="196">
        <f t="shared" si="11"/>
        <v>4366.82</v>
      </c>
      <c r="F54" s="196">
        <f t="shared" si="11"/>
        <v>3885.95</v>
      </c>
      <c r="G54" s="196">
        <f t="shared" si="11"/>
        <v>2440</v>
      </c>
      <c r="H54" s="196">
        <f t="shared" si="11"/>
        <v>3736.37</v>
      </c>
      <c r="I54" s="196">
        <f t="shared" si="11"/>
        <v>1343.65</v>
      </c>
      <c r="J54" s="196">
        <f t="shared" si="11"/>
        <v>2986.36</v>
      </c>
      <c r="K54" s="196">
        <f t="shared" si="11"/>
        <v>170</v>
      </c>
      <c r="L54" s="196">
        <f t="shared" si="11"/>
        <v>100</v>
      </c>
      <c r="M54" s="196">
        <f t="shared" si="11"/>
        <v>30</v>
      </c>
      <c r="N54" s="196">
        <f t="shared" si="11"/>
        <v>38784.42</v>
      </c>
    </row>
    <row r="55" spans="1:14" x14ac:dyDescent="0.2">
      <c r="A55" s="199" t="s">
        <v>29</v>
      </c>
      <c r="B55" s="200">
        <f t="shared" ref="B55:N55" si="12">B47+B54+0</f>
        <v>-29660.855667403826</v>
      </c>
      <c r="C55" s="200">
        <f t="shared" si="12"/>
        <v>-8175.2457551619218</v>
      </c>
      <c r="D55" s="200">
        <f t="shared" si="12"/>
        <v>-7506.151542920019</v>
      </c>
      <c r="E55" s="200">
        <f t="shared" si="12"/>
        <v>-9065.917330678114</v>
      </c>
      <c r="F55" s="200">
        <f t="shared" si="12"/>
        <v>-10449.72311843621</v>
      </c>
      <c r="G55" s="200">
        <f t="shared" si="12"/>
        <v>-9986.8657551619217</v>
      </c>
      <c r="H55" s="200">
        <f t="shared" si="12"/>
        <v>-12899.303118436212</v>
      </c>
      <c r="I55" s="200">
        <f t="shared" si="12"/>
        <v>-12389.087330678114</v>
      </c>
      <c r="J55" s="200">
        <f t="shared" si="12"/>
        <v>-10843.441542920018</v>
      </c>
      <c r="K55" s="200">
        <f t="shared" si="12"/>
        <v>-13765.673118436211</v>
      </c>
      <c r="L55" s="200">
        <f t="shared" si="12"/>
        <v>-15029.801542920019</v>
      </c>
      <c r="M55" s="200">
        <f t="shared" si="12"/>
        <v>-18207.064683178116</v>
      </c>
      <c r="N55" s="200">
        <f t="shared" si="12"/>
        <v>-157979.13050633069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FABF-2751-0942-9625-0FC9447298AE}">
  <sheetPr codeName="Sheet31">
    <tabColor rgb="FFFFC000"/>
    <pageSetUpPr fitToPage="1"/>
  </sheetPr>
  <dimension ref="A1:N38"/>
  <sheetViews>
    <sheetView topLeftCell="A4" workbookViewId="0">
      <selection activeCell="B28" sqref="B28:M32"/>
    </sheetView>
  </sheetViews>
  <sheetFormatPr defaultRowHeight="15.75" x14ac:dyDescent="0.25"/>
  <cols>
    <col min="1" max="1" width="49" bestFit="1" customWidth="1"/>
    <col min="2" max="13" width="8.125" bestFit="1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384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 ht="18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x14ac:dyDescent="0.25">
      <c r="A7" s="172" t="s">
        <v>181</v>
      </c>
      <c r="B7" s="181">
        <v>45292</v>
      </c>
      <c r="C7" s="181">
        <v>45323</v>
      </c>
      <c r="D7" s="181">
        <v>45352</v>
      </c>
      <c r="E7" s="181">
        <v>45383</v>
      </c>
      <c r="F7" s="181">
        <v>45413</v>
      </c>
      <c r="G7" s="181">
        <v>45444</v>
      </c>
      <c r="H7" s="181">
        <v>45474</v>
      </c>
      <c r="I7" s="181">
        <v>45505</v>
      </c>
      <c r="J7" s="181">
        <v>45536</v>
      </c>
      <c r="K7" s="181">
        <v>45566</v>
      </c>
      <c r="L7" s="181">
        <v>45597</v>
      </c>
      <c r="M7" s="181">
        <v>45627</v>
      </c>
      <c r="N7" s="182" t="s">
        <v>46</v>
      </c>
    </row>
    <row r="8" spans="1:14" s="169" customFormat="1" x14ac:dyDescent="0.25">
      <c r="A8" s="170" t="s">
        <v>184</v>
      </c>
      <c r="B8" s="171" t="s">
        <v>185</v>
      </c>
      <c r="C8" s="171" t="s">
        <v>185</v>
      </c>
      <c r="D8" s="171" t="s">
        <v>185</v>
      </c>
      <c r="E8" s="171" t="s">
        <v>185</v>
      </c>
      <c r="F8" s="171" t="s">
        <v>185</v>
      </c>
      <c r="G8" s="171" t="s">
        <v>185</v>
      </c>
      <c r="H8" s="171" t="s">
        <v>185</v>
      </c>
      <c r="I8" s="171" t="s">
        <v>185</v>
      </c>
      <c r="J8" s="171" t="s">
        <v>185</v>
      </c>
      <c r="K8" s="171" t="s">
        <v>185</v>
      </c>
      <c r="L8" s="171" t="s">
        <v>185</v>
      </c>
      <c r="M8" s="171" t="s">
        <v>185</v>
      </c>
      <c r="N8" s="171" t="s">
        <v>185</v>
      </c>
    </row>
    <row r="9" spans="1:14" x14ac:dyDescent="0.25">
      <c r="A9" s="161" t="s">
        <v>249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202" t="s">
        <v>385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>
        <f>SUM(B10:M10)</f>
        <v>0</v>
      </c>
    </row>
    <row r="11" spans="1:14" x14ac:dyDescent="0.25">
      <c r="A11" s="168" t="s">
        <v>251</v>
      </c>
      <c r="B11" s="167">
        <f t="shared" ref="B11:N11" si="0">SUM(B10)</f>
        <v>0</v>
      </c>
      <c r="C11" s="167">
        <f t="shared" si="0"/>
        <v>0</v>
      </c>
      <c r="D11" s="167">
        <f t="shared" si="0"/>
        <v>0</v>
      </c>
      <c r="E11" s="167">
        <f t="shared" si="0"/>
        <v>0</v>
      </c>
      <c r="F11" s="167">
        <f t="shared" si="0"/>
        <v>0</v>
      </c>
      <c r="G11" s="167">
        <f t="shared" si="0"/>
        <v>0</v>
      </c>
      <c r="H11" s="167">
        <f t="shared" si="0"/>
        <v>0</v>
      </c>
      <c r="I11" s="167">
        <f t="shared" si="0"/>
        <v>0</v>
      </c>
      <c r="J11" s="167">
        <f t="shared" si="0"/>
        <v>0</v>
      </c>
      <c r="K11" s="167">
        <f t="shared" si="0"/>
        <v>0</v>
      </c>
      <c r="L11" s="167">
        <f t="shared" si="0"/>
        <v>0</v>
      </c>
      <c r="M11" s="167">
        <f t="shared" si="0"/>
        <v>0</v>
      </c>
      <c r="N11" s="167">
        <f t="shared" si="0"/>
        <v>0</v>
      </c>
    </row>
    <row r="12" spans="1:14" x14ac:dyDescent="0.25">
      <c r="A12" s="159" t="s">
        <v>187</v>
      </c>
      <c r="B12" s="160">
        <f t="shared" ref="B12:N12" si="1">0-B11</f>
        <v>0</v>
      </c>
      <c r="C12" s="160">
        <f t="shared" si="1"/>
        <v>0</v>
      </c>
      <c r="D12" s="160">
        <f t="shared" si="1"/>
        <v>0</v>
      </c>
      <c r="E12" s="160">
        <f t="shared" si="1"/>
        <v>0</v>
      </c>
      <c r="F12" s="160">
        <f t="shared" si="1"/>
        <v>0</v>
      </c>
      <c r="G12" s="160">
        <f t="shared" si="1"/>
        <v>0</v>
      </c>
      <c r="H12" s="160">
        <f t="shared" si="1"/>
        <v>0</v>
      </c>
      <c r="I12" s="160">
        <f t="shared" si="1"/>
        <v>0</v>
      </c>
      <c r="J12" s="160">
        <f t="shared" si="1"/>
        <v>0</v>
      </c>
      <c r="K12" s="160">
        <f t="shared" si="1"/>
        <v>0</v>
      </c>
      <c r="L12" s="160">
        <f t="shared" si="1"/>
        <v>0</v>
      </c>
      <c r="M12" s="160">
        <f t="shared" si="1"/>
        <v>0</v>
      </c>
      <c r="N12" s="160">
        <f t="shared" si="1"/>
        <v>0</v>
      </c>
    </row>
    <row r="13" spans="1:14" x14ac:dyDescent="0.25">
      <c r="A13" s="161" t="s">
        <v>188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x14ac:dyDescent="0.25">
      <c r="A14" s="163" t="s">
        <v>189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229" t="s">
        <v>25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f t="shared" ref="N15:N24" si="2">SUM(B15:M15)</f>
        <v>0</v>
      </c>
    </row>
    <row r="16" spans="1:14" x14ac:dyDescent="0.25">
      <c r="A16" s="164" t="s">
        <v>206</v>
      </c>
      <c r="B16" s="165">
        <v>6</v>
      </c>
      <c r="C16" s="165">
        <v>6</v>
      </c>
      <c r="D16" s="165">
        <v>6</v>
      </c>
      <c r="E16" s="165">
        <v>6</v>
      </c>
      <c r="F16" s="165">
        <v>6</v>
      </c>
      <c r="G16" s="165">
        <v>6</v>
      </c>
      <c r="H16" s="165">
        <v>6</v>
      </c>
      <c r="I16" s="165">
        <v>6</v>
      </c>
      <c r="J16" s="165">
        <v>6</v>
      </c>
      <c r="K16" s="165">
        <v>6</v>
      </c>
      <c r="L16" s="165">
        <v>6</v>
      </c>
      <c r="M16" s="165">
        <v>6</v>
      </c>
      <c r="N16" s="165">
        <f t="shared" si="2"/>
        <v>72</v>
      </c>
    </row>
    <row r="17" spans="1:14" x14ac:dyDescent="0.25">
      <c r="A17" s="164" t="s">
        <v>207</v>
      </c>
      <c r="B17" s="165">
        <v>41</v>
      </c>
      <c r="C17" s="165">
        <v>41</v>
      </c>
      <c r="D17" s="165">
        <v>41</v>
      </c>
      <c r="E17" s="165">
        <v>41</v>
      </c>
      <c r="F17" s="165">
        <v>41</v>
      </c>
      <c r="G17" s="165">
        <v>41</v>
      </c>
      <c r="H17" s="165">
        <v>41</v>
      </c>
      <c r="I17" s="165">
        <v>41</v>
      </c>
      <c r="J17" s="165">
        <v>41</v>
      </c>
      <c r="K17" s="165">
        <v>41</v>
      </c>
      <c r="L17" s="165">
        <v>41</v>
      </c>
      <c r="M17" s="165">
        <v>41</v>
      </c>
      <c r="N17" s="165">
        <f t="shared" si="2"/>
        <v>492</v>
      </c>
    </row>
    <row r="18" spans="1:14" x14ac:dyDescent="0.25">
      <c r="A18" s="164" t="s">
        <v>208</v>
      </c>
      <c r="B18" s="165">
        <v>20</v>
      </c>
      <c r="C18" s="165">
        <v>20</v>
      </c>
      <c r="D18" s="165">
        <v>20</v>
      </c>
      <c r="E18" s="165">
        <v>20</v>
      </c>
      <c r="F18" s="165">
        <v>20</v>
      </c>
      <c r="G18" s="165">
        <v>20</v>
      </c>
      <c r="H18" s="165">
        <v>20</v>
      </c>
      <c r="I18" s="165">
        <v>20</v>
      </c>
      <c r="J18" s="165">
        <v>20</v>
      </c>
      <c r="K18" s="165">
        <v>20</v>
      </c>
      <c r="L18" s="165">
        <v>20</v>
      </c>
      <c r="M18" s="165">
        <v>20</v>
      </c>
      <c r="N18" s="165">
        <f t="shared" si="2"/>
        <v>240</v>
      </c>
    </row>
    <row r="19" spans="1:14" x14ac:dyDescent="0.25">
      <c r="A19" s="164" t="s">
        <v>257</v>
      </c>
      <c r="B19" s="165">
        <v>10</v>
      </c>
      <c r="C19" s="165">
        <v>10</v>
      </c>
      <c r="D19" s="165">
        <v>10</v>
      </c>
      <c r="E19" s="165">
        <v>10</v>
      </c>
      <c r="F19" s="165">
        <v>10</v>
      </c>
      <c r="G19" s="165">
        <v>10</v>
      </c>
      <c r="H19" s="165">
        <v>10</v>
      </c>
      <c r="I19" s="165">
        <v>10</v>
      </c>
      <c r="J19" s="165">
        <v>10</v>
      </c>
      <c r="K19" s="165">
        <v>10</v>
      </c>
      <c r="L19" s="165">
        <v>10</v>
      </c>
      <c r="M19" s="165">
        <v>10</v>
      </c>
      <c r="N19" s="165">
        <f t="shared" si="2"/>
        <v>120</v>
      </c>
    </row>
    <row r="20" spans="1:14" x14ac:dyDescent="0.25">
      <c r="A20" s="164" t="s">
        <v>260</v>
      </c>
      <c r="B20" s="165">
        <v>170</v>
      </c>
      <c r="C20" s="165">
        <v>170</v>
      </c>
      <c r="D20" s="165">
        <v>170</v>
      </c>
      <c r="E20" s="165">
        <v>170</v>
      </c>
      <c r="F20" s="165">
        <v>170</v>
      </c>
      <c r="G20" s="165">
        <v>170</v>
      </c>
      <c r="H20" s="165">
        <v>170</v>
      </c>
      <c r="I20" s="165">
        <v>170</v>
      </c>
      <c r="J20" s="165">
        <v>170</v>
      </c>
      <c r="K20" s="165">
        <v>170</v>
      </c>
      <c r="L20" s="165">
        <v>150</v>
      </c>
      <c r="M20" s="165">
        <v>150</v>
      </c>
      <c r="N20" s="165">
        <f t="shared" si="2"/>
        <v>2000</v>
      </c>
    </row>
    <row r="21" spans="1:14" x14ac:dyDescent="0.25">
      <c r="A21" s="164" t="s">
        <v>263</v>
      </c>
      <c r="B21" s="165">
        <v>15</v>
      </c>
      <c r="C21" s="165">
        <v>15</v>
      </c>
      <c r="D21" s="165">
        <v>15</v>
      </c>
      <c r="E21" s="165">
        <v>15</v>
      </c>
      <c r="F21" s="165">
        <v>15</v>
      </c>
      <c r="G21" s="165">
        <v>15</v>
      </c>
      <c r="H21" s="165">
        <v>15</v>
      </c>
      <c r="I21" s="165">
        <v>15</v>
      </c>
      <c r="J21" s="165">
        <v>15</v>
      </c>
      <c r="K21" s="165">
        <v>15</v>
      </c>
      <c r="L21" s="165">
        <v>15</v>
      </c>
      <c r="M21" s="165">
        <v>15</v>
      </c>
      <c r="N21" s="165">
        <f t="shared" si="2"/>
        <v>180</v>
      </c>
    </row>
    <row r="22" spans="1:14" x14ac:dyDescent="0.25">
      <c r="A22" s="229" t="s">
        <v>267</v>
      </c>
      <c r="B22" s="165">
        <v>200</v>
      </c>
      <c r="C22" s="165">
        <v>0</v>
      </c>
      <c r="D22" s="165">
        <v>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600</v>
      </c>
      <c r="N22" s="165">
        <f t="shared" si="2"/>
        <v>800</v>
      </c>
    </row>
    <row r="23" spans="1:14" x14ac:dyDescent="0.25">
      <c r="A23" s="229" t="s">
        <v>213</v>
      </c>
      <c r="B23" s="230">
        <v>60.32</v>
      </c>
      <c r="C23" s="230">
        <v>60.32</v>
      </c>
      <c r="D23" s="230">
        <v>60.32</v>
      </c>
      <c r="E23" s="230">
        <v>60.32</v>
      </c>
      <c r="F23" s="230">
        <v>60.32</v>
      </c>
      <c r="G23" s="230">
        <v>60.32</v>
      </c>
      <c r="H23" s="230">
        <v>60.32</v>
      </c>
      <c r="I23" s="230">
        <v>60.32</v>
      </c>
      <c r="J23" s="230">
        <v>60.32</v>
      </c>
      <c r="K23" s="230">
        <v>60.32</v>
      </c>
      <c r="L23" s="230">
        <v>60.32</v>
      </c>
      <c r="M23" s="230">
        <v>60.32</v>
      </c>
      <c r="N23" s="165">
        <f t="shared" si="2"/>
        <v>723.84000000000015</v>
      </c>
    </row>
    <row r="24" spans="1:14" x14ac:dyDescent="0.25">
      <c r="A24" s="229" t="s">
        <v>214</v>
      </c>
      <c r="B24" s="230">
        <v>16.98</v>
      </c>
      <c r="C24" s="230">
        <v>16.98</v>
      </c>
      <c r="D24" s="230">
        <v>16.98</v>
      </c>
      <c r="E24" s="230">
        <v>16.98</v>
      </c>
      <c r="F24" s="230">
        <v>16.98</v>
      </c>
      <c r="G24" s="230">
        <v>16.98</v>
      </c>
      <c r="H24" s="230">
        <v>16.98</v>
      </c>
      <c r="I24" s="230">
        <v>16.98</v>
      </c>
      <c r="J24" s="230">
        <v>16.98</v>
      </c>
      <c r="K24" s="230">
        <v>16.98</v>
      </c>
      <c r="L24" s="230">
        <v>16.98</v>
      </c>
      <c r="M24" s="230">
        <v>16.98</v>
      </c>
      <c r="N24" s="165">
        <f t="shared" si="2"/>
        <v>203.75999999999996</v>
      </c>
    </row>
    <row r="25" spans="1:14" x14ac:dyDescent="0.25">
      <c r="A25" s="166" t="s">
        <v>190</v>
      </c>
      <c r="B25" s="167">
        <f t="shared" ref="B25:N25" si="3">SUM(B15:B24)</f>
        <v>539.30000000000007</v>
      </c>
      <c r="C25" s="167">
        <f t="shared" si="3"/>
        <v>339.3</v>
      </c>
      <c r="D25" s="167">
        <f t="shared" si="3"/>
        <v>339.3</v>
      </c>
      <c r="E25" s="167">
        <f t="shared" si="3"/>
        <v>339.3</v>
      </c>
      <c r="F25" s="167">
        <f t="shared" si="3"/>
        <v>339.3</v>
      </c>
      <c r="G25" s="167">
        <f t="shared" si="3"/>
        <v>339.3</v>
      </c>
      <c r="H25" s="167">
        <f t="shared" si="3"/>
        <v>339.3</v>
      </c>
      <c r="I25" s="167">
        <f t="shared" si="3"/>
        <v>339.3</v>
      </c>
      <c r="J25" s="167">
        <f t="shared" si="3"/>
        <v>339.3</v>
      </c>
      <c r="K25" s="167">
        <f t="shared" si="3"/>
        <v>339.3</v>
      </c>
      <c r="L25" s="167">
        <f t="shared" si="3"/>
        <v>319.3</v>
      </c>
      <c r="M25" s="167">
        <f t="shared" si="3"/>
        <v>919.30000000000007</v>
      </c>
      <c r="N25" s="167">
        <f t="shared" si="3"/>
        <v>4831.6000000000004</v>
      </c>
    </row>
    <row r="26" spans="1:14" x14ac:dyDescent="0.25">
      <c r="A26" s="163" t="s">
        <v>216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</row>
    <row r="27" spans="1:14" x14ac:dyDescent="0.25">
      <c r="A27" s="164" t="s">
        <v>217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>
        <f t="shared" ref="N27:N31" si="4">SUM(B27:M27)</f>
        <v>0</v>
      </c>
    </row>
    <row r="28" spans="1:14" x14ac:dyDescent="0.25">
      <c r="A28" s="164" t="s">
        <v>218</v>
      </c>
      <c r="B28" s="165">
        <v>8074.9426806225683</v>
      </c>
      <c r="C28" s="165">
        <v>8499.9396638132293</v>
      </c>
      <c r="D28" s="165">
        <v>8924.9366470038913</v>
      </c>
      <c r="E28" s="165">
        <v>9349.9336301945532</v>
      </c>
      <c r="F28" s="165">
        <v>9774.9306133852133</v>
      </c>
      <c r="G28" s="165">
        <v>8499.9396638132293</v>
      </c>
      <c r="H28" s="165">
        <v>9774.9306133852133</v>
      </c>
      <c r="I28" s="165">
        <v>9349.9336301945532</v>
      </c>
      <c r="J28" s="165">
        <v>8924.9366470038913</v>
      </c>
      <c r="K28" s="165">
        <v>9774.9306133852133</v>
      </c>
      <c r="L28" s="165">
        <v>8924.9366470038913</v>
      </c>
      <c r="M28" s="165">
        <v>10747.933630194553</v>
      </c>
      <c r="N28" s="165">
        <f t="shared" si="4"/>
        <v>110622.22468000001</v>
      </c>
    </row>
    <row r="29" spans="1:14" x14ac:dyDescent="0.25">
      <c r="A29" s="164" t="s">
        <v>219</v>
      </c>
      <c r="B29" s="165">
        <v>1666.2297190709294</v>
      </c>
      <c r="C29" s="165">
        <v>1753.9260200746626</v>
      </c>
      <c r="D29" s="165">
        <v>1841.6223210783955</v>
      </c>
      <c r="E29" s="165">
        <v>1929.3186220821287</v>
      </c>
      <c r="F29" s="165">
        <v>2017.0149230858619</v>
      </c>
      <c r="G29" s="165">
        <v>1753.9260200746626</v>
      </c>
      <c r="H29" s="165">
        <v>2017.0149230858619</v>
      </c>
      <c r="I29" s="165">
        <v>1929.3186220821287</v>
      </c>
      <c r="J29" s="165">
        <v>1841.6223210783955</v>
      </c>
      <c r="K29" s="165">
        <v>2017.0149230858619</v>
      </c>
      <c r="L29" s="165">
        <v>1841.6223210783955</v>
      </c>
      <c r="M29" s="165">
        <v>1929.3186220821287</v>
      </c>
      <c r="N29" s="165">
        <f t="shared" si="4"/>
        <v>22537.949357959413</v>
      </c>
    </row>
    <row r="30" spans="1:14" x14ac:dyDescent="0.25">
      <c r="A30" s="164" t="s">
        <v>220</v>
      </c>
      <c r="B30" s="165">
        <v>85.563147736074725</v>
      </c>
      <c r="C30" s="165">
        <v>90.066471301131301</v>
      </c>
      <c r="D30" s="165">
        <v>94.569794866187863</v>
      </c>
      <c r="E30" s="165">
        <v>99.073118431244424</v>
      </c>
      <c r="F30" s="165">
        <v>103.57644199630099</v>
      </c>
      <c r="G30" s="165">
        <v>90.066471301131301</v>
      </c>
      <c r="H30" s="165">
        <v>103.57644199630099</v>
      </c>
      <c r="I30" s="165">
        <v>99.073118431244424</v>
      </c>
      <c r="J30" s="165">
        <v>94.569794866187863</v>
      </c>
      <c r="K30" s="165">
        <v>103.57644199630099</v>
      </c>
      <c r="L30" s="165">
        <v>94.569794866187863</v>
      </c>
      <c r="M30" s="165">
        <v>99.073118431244424</v>
      </c>
      <c r="N30" s="165">
        <f t="shared" si="4"/>
        <v>1157.3541562195373</v>
      </c>
    </row>
    <row r="31" spans="1:14" x14ac:dyDescent="0.25">
      <c r="A31" s="164" t="s">
        <v>221</v>
      </c>
      <c r="B31" s="165">
        <v>794.34678247499812</v>
      </c>
      <c r="C31" s="165">
        <v>768.24303418420845</v>
      </c>
      <c r="D31" s="165">
        <v>806.65518589341889</v>
      </c>
      <c r="E31" s="165">
        <v>845.06733760262932</v>
      </c>
      <c r="F31" s="165">
        <v>883.47948931183976</v>
      </c>
      <c r="G31" s="165">
        <v>768.24303418420845</v>
      </c>
      <c r="H31" s="165">
        <v>883.47948931183976</v>
      </c>
      <c r="I31" s="165">
        <v>845.06733760262932</v>
      </c>
      <c r="J31" s="165">
        <v>806.65518589341889</v>
      </c>
      <c r="K31" s="165">
        <v>883.47948931183976</v>
      </c>
      <c r="L31" s="165">
        <v>806.65518589341889</v>
      </c>
      <c r="M31" s="165">
        <v>845.06733760262932</v>
      </c>
      <c r="N31" s="165">
        <f t="shared" si="4"/>
        <v>9936.4388892670795</v>
      </c>
    </row>
    <row r="32" spans="1:14" x14ac:dyDescent="0.25">
      <c r="A32" s="166" t="s">
        <v>222</v>
      </c>
      <c r="B32" s="167">
        <v>219.71906701556424</v>
      </c>
      <c r="C32" s="167">
        <v>212.49849159533076</v>
      </c>
      <c r="D32" s="167">
        <v>223.1234161750973</v>
      </c>
      <c r="E32" s="167">
        <v>233.74834075486382</v>
      </c>
      <c r="F32" s="167">
        <v>244.37326533463036</v>
      </c>
      <c r="G32" s="167">
        <v>212.49849159533076</v>
      </c>
      <c r="H32" s="167">
        <v>244.37326533463036</v>
      </c>
      <c r="I32" s="167">
        <v>233.74834075486382</v>
      </c>
      <c r="J32" s="167">
        <v>223.1234161750973</v>
      </c>
      <c r="K32" s="167">
        <v>244.37326533463036</v>
      </c>
      <c r="L32" s="167">
        <v>223.1234161750973</v>
      </c>
      <c r="M32" s="167">
        <v>233.74834075486382</v>
      </c>
      <c r="N32" s="167">
        <f t="shared" ref="N32" si="5">SUM(N27:N31)</f>
        <v>144253.96708344604</v>
      </c>
    </row>
    <row r="33" spans="1:14" x14ac:dyDescent="0.25">
      <c r="A33" s="168" t="s">
        <v>191</v>
      </c>
      <c r="B33" s="167">
        <f t="shared" ref="B33:N33" si="6">SUM(B25,B32)</f>
        <v>759.01906701556436</v>
      </c>
      <c r="C33" s="167">
        <f t="shared" si="6"/>
        <v>551.7984915953308</v>
      </c>
      <c r="D33" s="167">
        <f t="shared" si="6"/>
        <v>562.42341617509737</v>
      </c>
      <c r="E33" s="167">
        <f t="shared" si="6"/>
        <v>573.04834075486383</v>
      </c>
      <c r="F33" s="167">
        <f t="shared" si="6"/>
        <v>583.6732653346304</v>
      </c>
      <c r="G33" s="167">
        <f t="shared" si="6"/>
        <v>551.7984915953308</v>
      </c>
      <c r="H33" s="167">
        <f t="shared" si="6"/>
        <v>583.6732653346304</v>
      </c>
      <c r="I33" s="167">
        <f t="shared" si="6"/>
        <v>573.04834075486383</v>
      </c>
      <c r="J33" s="167">
        <f t="shared" si="6"/>
        <v>562.42341617509737</v>
      </c>
      <c r="K33" s="167">
        <f t="shared" si="6"/>
        <v>583.6732653346304</v>
      </c>
      <c r="L33" s="167">
        <f t="shared" si="6"/>
        <v>542.42341617509737</v>
      </c>
      <c r="M33" s="167">
        <f t="shared" si="6"/>
        <v>1153.0483407548638</v>
      </c>
      <c r="N33" s="167">
        <f t="shared" si="6"/>
        <v>149085.56708344605</v>
      </c>
    </row>
    <row r="34" spans="1:14" x14ac:dyDescent="0.25">
      <c r="A34" s="159" t="s">
        <v>192</v>
      </c>
      <c r="B34" s="160">
        <f t="shared" ref="B34:N34" si="7">B12-B33</f>
        <v>-759.01906701556436</v>
      </c>
      <c r="C34" s="160">
        <f t="shared" si="7"/>
        <v>-551.7984915953308</v>
      </c>
      <c r="D34" s="160">
        <f t="shared" si="7"/>
        <v>-562.42341617509737</v>
      </c>
      <c r="E34" s="160">
        <f t="shared" si="7"/>
        <v>-573.04834075486383</v>
      </c>
      <c r="F34" s="160">
        <f t="shared" si="7"/>
        <v>-583.6732653346304</v>
      </c>
      <c r="G34" s="160">
        <f t="shared" si="7"/>
        <v>-551.7984915953308</v>
      </c>
      <c r="H34" s="160">
        <f t="shared" si="7"/>
        <v>-583.6732653346304</v>
      </c>
      <c r="I34" s="160">
        <f t="shared" si="7"/>
        <v>-573.04834075486383</v>
      </c>
      <c r="J34" s="160">
        <f t="shared" si="7"/>
        <v>-562.42341617509737</v>
      </c>
      <c r="K34" s="160">
        <f t="shared" si="7"/>
        <v>-583.6732653346304</v>
      </c>
      <c r="L34" s="160">
        <f t="shared" si="7"/>
        <v>-542.42341617509737</v>
      </c>
      <c r="M34" s="160">
        <f t="shared" si="7"/>
        <v>-1153.0483407548638</v>
      </c>
      <c r="N34" s="160">
        <f t="shared" si="7"/>
        <v>-149085.56708344605</v>
      </c>
    </row>
    <row r="35" spans="1:14" x14ac:dyDescent="0.25">
      <c r="A35" s="159" t="s">
        <v>29</v>
      </c>
      <c r="B35" s="160">
        <f t="shared" ref="B35:N35" si="8">B34+0+0</f>
        <v>-759.01906701556436</v>
      </c>
      <c r="C35" s="160">
        <f t="shared" si="8"/>
        <v>-551.7984915953308</v>
      </c>
      <c r="D35" s="160">
        <f t="shared" si="8"/>
        <v>-562.42341617509737</v>
      </c>
      <c r="E35" s="160">
        <f t="shared" si="8"/>
        <v>-573.04834075486383</v>
      </c>
      <c r="F35" s="160">
        <f t="shared" si="8"/>
        <v>-583.6732653346304</v>
      </c>
      <c r="G35" s="160">
        <f t="shared" si="8"/>
        <v>-551.7984915953308</v>
      </c>
      <c r="H35" s="160">
        <f t="shared" si="8"/>
        <v>-583.6732653346304</v>
      </c>
      <c r="I35" s="160">
        <f t="shared" si="8"/>
        <v>-573.04834075486383</v>
      </c>
      <c r="J35" s="160">
        <f t="shared" si="8"/>
        <v>-562.42341617509737</v>
      </c>
      <c r="K35" s="160">
        <f t="shared" si="8"/>
        <v>-583.6732653346304</v>
      </c>
      <c r="L35" s="160">
        <f t="shared" si="8"/>
        <v>-542.42341617509737</v>
      </c>
      <c r="M35" s="160">
        <f t="shared" si="8"/>
        <v>-1153.0483407548638</v>
      </c>
      <c r="N35" s="160">
        <f t="shared" si="8"/>
        <v>-149085.56708344605</v>
      </c>
    </row>
    <row r="38" spans="1:14" x14ac:dyDescent="0.25">
      <c r="A38" s="161" t="s">
        <v>386</v>
      </c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8EA8-C154-E444-B267-EF1283A224CC}">
  <sheetPr codeName="Sheet32">
    <tabColor rgb="FFFFC000"/>
    <pageSetUpPr fitToPage="1"/>
  </sheetPr>
  <dimension ref="A1:N38"/>
  <sheetViews>
    <sheetView topLeftCell="A15" workbookViewId="0">
      <selection activeCell="P43" sqref="P43"/>
    </sheetView>
  </sheetViews>
  <sheetFormatPr defaultRowHeight="15.75" x14ac:dyDescent="0.25"/>
  <cols>
    <col min="1" max="1" width="49" bestFit="1" customWidth="1"/>
    <col min="2" max="13" width="8.125" bestFit="1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121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46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185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387</v>
      </c>
      <c r="B11" s="165">
        <v>0</v>
      </c>
      <c r="C11" s="165">
        <v>0</v>
      </c>
      <c r="D11" s="165">
        <v>200</v>
      </c>
      <c r="E11" s="165">
        <v>200</v>
      </c>
      <c r="F11" s="165">
        <v>200</v>
      </c>
      <c r="G11" s="165">
        <v>200</v>
      </c>
      <c r="H11" s="165">
        <v>200</v>
      </c>
      <c r="I11" s="165">
        <v>200</v>
      </c>
      <c r="J11" s="165">
        <v>1000</v>
      </c>
      <c r="K11" s="165">
        <v>0</v>
      </c>
      <c r="L11" s="165">
        <v>0</v>
      </c>
      <c r="M11" s="165">
        <v>0</v>
      </c>
      <c r="N11" s="165">
        <f t="shared" ref="N11:N27" si="1">SUM(B11:M11)</f>
        <v>2200</v>
      </c>
    </row>
    <row r="12" spans="1:14" x14ac:dyDescent="0.25">
      <c r="A12" s="229" t="s">
        <v>325</v>
      </c>
      <c r="B12" s="165">
        <v>0</v>
      </c>
      <c r="C12" s="165">
        <v>0</v>
      </c>
      <c r="D12" s="165">
        <v>0</v>
      </c>
      <c r="E12" s="165">
        <v>0</v>
      </c>
      <c r="F12" s="165">
        <v>300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si="1"/>
        <v>300</v>
      </c>
    </row>
    <row r="13" spans="1:14" x14ac:dyDescent="0.25">
      <c r="A13" s="164" t="s">
        <v>335</v>
      </c>
      <c r="B13" s="165">
        <v>0</v>
      </c>
      <c r="C13" s="165">
        <v>800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200</v>
      </c>
      <c r="J13" s="165">
        <v>0</v>
      </c>
      <c r="K13" s="165">
        <v>0</v>
      </c>
      <c r="L13" s="165">
        <v>0</v>
      </c>
      <c r="M13" s="165">
        <v>0</v>
      </c>
      <c r="N13" s="165">
        <f t="shared" si="1"/>
        <v>1000</v>
      </c>
    </row>
    <row r="14" spans="1:14" x14ac:dyDescent="0.25">
      <c r="A14" s="164" t="s">
        <v>341</v>
      </c>
      <c r="B14" s="165">
        <v>0</v>
      </c>
      <c r="C14" s="165">
        <v>890</v>
      </c>
      <c r="D14" s="165">
        <v>890</v>
      </c>
      <c r="E14" s="165">
        <v>890</v>
      </c>
      <c r="F14" s="165">
        <v>890</v>
      </c>
      <c r="G14" s="165">
        <v>890</v>
      </c>
      <c r="H14" s="165">
        <v>890</v>
      </c>
      <c r="I14" s="165">
        <v>890</v>
      </c>
      <c r="J14" s="165">
        <v>890</v>
      </c>
      <c r="K14" s="165">
        <v>890</v>
      </c>
      <c r="L14" s="165">
        <v>890</v>
      </c>
      <c r="M14" s="165">
        <v>0</v>
      </c>
      <c r="N14" s="165">
        <f t="shared" si="1"/>
        <v>8900</v>
      </c>
    </row>
    <row r="15" spans="1:14" x14ac:dyDescent="0.25">
      <c r="A15" s="164" t="s">
        <v>337</v>
      </c>
      <c r="B15" s="165">
        <v>133.33000000000001</v>
      </c>
      <c r="C15" s="165">
        <v>133.33000000000001</v>
      </c>
      <c r="D15" s="165">
        <v>133.33000000000001</v>
      </c>
      <c r="E15" s="165">
        <v>133.33000000000001</v>
      </c>
      <c r="F15" s="165">
        <v>133.33000000000001</v>
      </c>
      <c r="G15" s="165">
        <v>133.33000000000001</v>
      </c>
      <c r="H15" s="165">
        <v>133.33000000000001</v>
      </c>
      <c r="I15" s="165">
        <v>133.33000000000001</v>
      </c>
      <c r="J15" s="165">
        <v>133.33000000000001</v>
      </c>
      <c r="K15" s="165">
        <v>133.33000000000001</v>
      </c>
      <c r="L15" s="165">
        <v>133.33000000000001</v>
      </c>
      <c r="M15" s="165">
        <v>133.37</v>
      </c>
      <c r="N15" s="165">
        <f t="shared" si="1"/>
        <v>1600</v>
      </c>
    </row>
    <row r="16" spans="1:14" x14ac:dyDescent="0.25">
      <c r="A16" s="164" t="s">
        <v>25</v>
      </c>
      <c r="B16" s="165">
        <v>0</v>
      </c>
      <c r="C16" s="165">
        <v>500</v>
      </c>
      <c r="D16" s="165">
        <v>0</v>
      </c>
      <c r="E16" s="165">
        <v>0</v>
      </c>
      <c r="F16" s="165">
        <v>250</v>
      </c>
      <c r="G16" s="165">
        <v>0</v>
      </c>
      <c r="H16" s="165">
        <v>0</v>
      </c>
      <c r="I16" s="165">
        <v>250</v>
      </c>
      <c r="J16" s="165">
        <v>0</v>
      </c>
      <c r="K16" s="165">
        <v>0</v>
      </c>
      <c r="L16" s="165">
        <v>0</v>
      </c>
      <c r="M16" s="165">
        <v>0</v>
      </c>
      <c r="N16" s="165">
        <f t="shared" si="1"/>
        <v>1000</v>
      </c>
    </row>
    <row r="17" spans="1:14" x14ac:dyDescent="0.25">
      <c r="A17" s="164" t="s">
        <v>206</v>
      </c>
      <c r="B17" s="165">
        <v>80</v>
      </c>
      <c r="C17" s="165">
        <v>80</v>
      </c>
      <c r="D17" s="165">
        <v>80</v>
      </c>
      <c r="E17" s="165">
        <v>80</v>
      </c>
      <c r="F17" s="165">
        <v>80</v>
      </c>
      <c r="G17" s="165">
        <v>80</v>
      </c>
      <c r="H17" s="165">
        <v>80</v>
      </c>
      <c r="I17" s="165">
        <v>80</v>
      </c>
      <c r="J17" s="165">
        <v>80</v>
      </c>
      <c r="K17" s="165">
        <v>80</v>
      </c>
      <c r="L17" s="165">
        <v>80</v>
      </c>
      <c r="M17" s="165">
        <v>80</v>
      </c>
      <c r="N17" s="165">
        <f t="shared" si="1"/>
        <v>960</v>
      </c>
    </row>
    <row r="18" spans="1:14" x14ac:dyDescent="0.25">
      <c r="A18" s="164" t="s">
        <v>207</v>
      </c>
      <c r="B18" s="165">
        <v>40</v>
      </c>
      <c r="C18" s="165">
        <v>40</v>
      </c>
      <c r="D18" s="165">
        <v>40</v>
      </c>
      <c r="E18" s="165">
        <v>40</v>
      </c>
      <c r="F18" s="165">
        <v>40</v>
      </c>
      <c r="G18" s="165">
        <v>40</v>
      </c>
      <c r="H18" s="165">
        <v>40</v>
      </c>
      <c r="I18" s="165">
        <v>40</v>
      </c>
      <c r="J18" s="165">
        <v>40</v>
      </c>
      <c r="K18" s="165">
        <v>40</v>
      </c>
      <c r="L18" s="165">
        <v>40</v>
      </c>
      <c r="M18" s="165">
        <v>40</v>
      </c>
      <c r="N18" s="165">
        <f t="shared" si="1"/>
        <v>480</v>
      </c>
    </row>
    <row r="19" spans="1:14" x14ac:dyDescent="0.25">
      <c r="A19" s="164" t="s">
        <v>362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f t="shared" si="1"/>
        <v>0</v>
      </c>
    </row>
    <row r="20" spans="1:14" x14ac:dyDescent="0.25">
      <c r="A20" s="164" t="s">
        <v>208</v>
      </c>
      <c r="B20" s="165">
        <v>55</v>
      </c>
      <c r="C20" s="165">
        <v>55</v>
      </c>
      <c r="D20" s="165">
        <v>55</v>
      </c>
      <c r="E20" s="165">
        <v>55</v>
      </c>
      <c r="F20" s="165">
        <v>55</v>
      </c>
      <c r="G20" s="165">
        <v>55</v>
      </c>
      <c r="H20" s="165">
        <v>55</v>
      </c>
      <c r="I20" s="165">
        <v>55</v>
      </c>
      <c r="J20" s="165">
        <v>55</v>
      </c>
      <c r="K20" s="165">
        <v>55</v>
      </c>
      <c r="L20" s="165">
        <v>55</v>
      </c>
      <c r="M20" s="165">
        <v>55</v>
      </c>
      <c r="N20" s="165">
        <f t="shared" si="1"/>
        <v>660</v>
      </c>
    </row>
    <row r="21" spans="1:14" x14ac:dyDescent="0.25">
      <c r="A21" s="164" t="s">
        <v>257</v>
      </c>
      <c r="B21" s="165">
        <v>150</v>
      </c>
      <c r="C21" s="165">
        <v>150</v>
      </c>
      <c r="D21" s="165">
        <v>150</v>
      </c>
      <c r="E21" s="165">
        <v>150</v>
      </c>
      <c r="F21" s="165">
        <v>150</v>
      </c>
      <c r="G21" s="165">
        <v>150</v>
      </c>
      <c r="H21" s="165">
        <v>150</v>
      </c>
      <c r="I21" s="165">
        <v>150</v>
      </c>
      <c r="J21" s="165">
        <v>150</v>
      </c>
      <c r="K21" s="165">
        <v>150</v>
      </c>
      <c r="L21" s="165">
        <v>150</v>
      </c>
      <c r="M21" s="165">
        <v>150</v>
      </c>
      <c r="N21" s="165">
        <f t="shared" si="1"/>
        <v>1800</v>
      </c>
    </row>
    <row r="22" spans="1:14" x14ac:dyDescent="0.25">
      <c r="A22" s="164" t="s">
        <v>319</v>
      </c>
      <c r="B22" s="165">
        <v>200</v>
      </c>
      <c r="C22" s="165">
        <v>200</v>
      </c>
      <c r="D22" s="165">
        <v>200</v>
      </c>
      <c r="E22" s="165">
        <v>200</v>
      </c>
      <c r="F22" s="165">
        <v>200</v>
      </c>
      <c r="G22" s="165">
        <v>200</v>
      </c>
      <c r="H22" s="165">
        <v>200</v>
      </c>
      <c r="I22" s="165">
        <v>200</v>
      </c>
      <c r="J22" s="165">
        <v>200</v>
      </c>
      <c r="K22" s="165">
        <v>200</v>
      </c>
      <c r="L22" s="165">
        <v>200</v>
      </c>
      <c r="M22" s="165">
        <v>200</v>
      </c>
      <c r="N22" s="165">
        <f t="shared" si="1"/>
        <v>2400</v>
      </c>
    </row>
    <row r="23" spans="1:14" x14ac:dyDescent="0.25">
      <c r="A23" s="164" t="s">
        <v>260</v>
      </c>
      <c r="B23" s="165">
        <v>20</v>
      </c>
      <c r="C23" s="165">
        <v>1000</v>
      </c>
      <c r="D23" s="165">
        <v>20</v>
      </c>
      <c r="E23" s="165">
        <v>20</v>
      </c>
      <c r="F23" s="165">
        <v>20</v>
      </c>
      <c r="G23" s="165">
        <v>20</v>
      </c>
      <c r="H23" s="165">
        <v>20</v>
      </c>
      <c r="I23" s="165">
        <v>20</v>
      </c>
      <c r="J23" s="165">
        <v>20</v>
      </c>
      <c r="K23" s="165">
        <v>20</v>
      </c>
      <c r="L23" s="165">
        <v>20</v>
      </c>
      <c r="M23" s="165">
        <v>20</v>
      </c>
      <c r="N23" s="165">
        <f t="shared" si="1"/>
        <v>1220</v>
      </c>
    </row>
    <row r="24" spans="1:14" x14ac:dyDescent="0.25">
      <c r="A24" s="229" t="s">
        <v>263</v>
      </c>
      <c r="B24" s="165">
        <v>65</v>
      </c>
      <c r="C24" s="165">
        <v>65</v>
      </c>
      <c r="D24" s="165">
        <v>65</v>
      </c>
      <c r="E24" s="165">
        <v>65</v>
      </c>
      <c r="F24" s="165">
        <v>65</v>
      </c>
      <c r="G24" s="165">
        <v>65</v>
      </c>
      <c r="H24" s="165">
        <v>65</v>
      </c>
      <c r="I24" s="165">
        <v>65</v>
      </c>
      <c r="J24" s="165">
        <v>65</v>
      </c>
      <c r="K24" s="165">
        <v>65</v>
      </c>
      <c r="L24" s="165">
        <v>65</v>
      </c>
      <c r="M24" s="165">
        <v>65</v>
      </c>
      <c r="N24" s="165">
        <f t="shared" si="1"/>
        <v>780</v>
      </c>
    </row>
    <row r="25" spans="1:14" x14ac:dyDescent="0.25">
      <c r="A25" s="164" t="s">
        <v>320</v>
      </c>
      <c r="B25" s="165">
        <v>0</v>
      </c>
      <c r="C25" s="165">
        <v>0</v>
      </c>
      <c r="D25" s="165">
        <v>2000</v>
      </c>
      <c r="E25" s="165">
        <v>0</v>
      </c>
      <c r="F25" s="165">
        <v>1500</v>
      </c>
      <c r="G25" s="165">
        <v>0</v>
      </c>
      <c r="H25" s="165">
        <v>0</v>
      </c>
      <c r="I25" s="165">
        <v>1500</v>
      </c>
      <c r="J25" s="165">
        <v>1500</v>
      </c>
      <c r="K25" s="165">
        <v>0</v>
      </c>
      <c r="L25" s="165">
        <v>0</v>
      </c>
      <c r="M25" s="165">
        <v>0</v>
      </c>
      <c r="N25" s="165">
        <f t="shared" si="1"/>
        <v>6500</v>
      </c>
    </row>
    <row r="26" spans="1:14" x14ac:dyDescent="0.25">
      <c r="A26" s="229" t="s">
        <v>214</v>
      </c>
      <c r="B26" s="230">
        <v>69.83</v>
      </c>
      <c r="C26" s="230">
        <v>69.83</v>
      </c>
      <c r="D26" s="230">
        <v>69.83</v>
      </c>
      <c r="E26" s="230">
        <v>69.83</v>
      </c>
      <c r="F26" s="230">
        <v>69.83</v>
      </c>
      <c r="G26" s="230">
        <v>69.83</v>
      </c>
      <c r="H26" s="230">
        <v>69.83</v>
      </c>
      <c r="I26" s="230">
        <v>69.83</v>
      </c>
      <c r="J26" s="230">
        <v>69.83</v>
      </c>
      <c r="K26" s="230">
        <v>69.83</v>
      </c>
      <c r="L26" s="230">
        <v>69.83</v>
      </c>
      <c r="M26" s="230">
        <v>69.83</v>
      </c>
      <c r="N26" s="165">
        <f t="shared" si="1"/>
        <v>837.96000000000015</v>
      </c>
    </row>
    <row r="27" spans="1:14" x14ac:dyDescent="0.25">
      <c r="A27" s="164" t="s">
        <v>268</v>
      </c>
      <c r="B27" s="230">
        <v>52</v>
      </c>
      <c r="C27" s="230">
        <v>52</v>
      </c>
      <c r="D27" s="230">
        <v>52</v>
      </c>
      <c r="E27" s="230">
        <v>52</v>
      </c>
      <c r="F27" s="230">
        <v>52</v>
      </c>
      <c r="G27" s="230">
        <v>52</v>
      </c>
      <c r="H27" s="230">
        <v>52</v>
      </c>
      <c r="I27" s="230">
        <v>52</v>
      </c>
      <c r="J27" s="230">
        <v>52</v>
      </c>
      <c r="K27" s="230">
        <v>52</v>
      </c>
      <c r="L27" s="230">
        <v>52</v>
      </c>
      <c r="M27" s="230">
        <v>52</v>
      </c>
      <c r="N27" s="165">
        <f t="shared" si="1"/>
        <v>624</v>
      </c>
    </row>
    <row r="28" spans="1:14" x14ac:dyDescent="0.25">
      <c r="A28" s="166" t="s">
        <v>190</v>
      </c>
      <c r="B28" s="167">
        <f t="shared" ref="B28:N28" si="2">SUM(B11:B27)</f>
        <v>865.16000000000008</v>
      </c>
      <c r="C28" s="167">
        <f t="shared" si="2"/>
        <v>4035.16</v>
      </c>
      <c r="D28" s="167">
        <f t="shared" si="2"/>
        <v>3955.16</v>
      </c>
      <c r="E28" s="167">
        <f t="shared" si="2"/>
        <v>1955.1599999999999</v>
      </c>
      <c r="F28" s="167">
        <f t="shared" si="2"/>
        <v>4005.16</v>
      </c>
      <c r="G28" s="167">
        <f t="shared" si="2"/>
        <v>1955.1599999999999</v>
      </c>
      <c r="H28" s="167">
        <f t="shared" si="2"/>
        <v>1955.1599999999999</v>
      </c>
      <c r="I28" s="167">
        <f t="shared" si="2"/>
        <v>3905.16</v>
      </c>
      <c r="J28" s="167">
        <f t="shared" si="2"/>
        <v>4255.16</v>
      </c>
      <c r="K28" s="167">
        <f t="shared" si="2"/>
        <v>1755.1599999999999</v>
      </c>
      <c r="L28" s="167">
        <f t="shared" si="2"/>
        <v>1755.1599999999999</v>
      </c>
      <c r="M28" s="167">
        <f t="shared" si="2"/>
        <v>865.2</v>
      </c>
      <c r="N28" s="167">
        <f t="shared" si="2"/>
        <v>31261.96</v>
      </c>
    </row>
    <row r="29" spans="1:14" x14ac:dyDescent="0.25">
      <c r="A29" s="163" t="s">
        <v>216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 x14ac:dyDescent="0.25">
      <c r="A30" s="164" t="s">
        <v>217</v>
      </c>
      <c r="B30" s="165">
        <v>12610.12527984436</v>
      </c>
      <c r="C30" s="165">
        <v>13273.816084046694</v>
      </c>
      <c r="D30" s="165">
        <v>13937.506888249029</v>
      </c>
      <c r="E30" s="165">
        <v>14601.197692451364</v>
      </c>
      <c r="F30" s="165">
        <v>15264.888496653699</v>
      </c>
      <c r="G30" s="165">
        <v>13273.816084046694</v>
      </c>
      <c r="H30" s="165">
        <v>15264.888496653699</v>
      </c>
      <c r="I30" s="165">
        <v>14601.197692451364</v>
      </c>
      <c r="J30" s="165">
        <v>13937.506888249029</v>
      </c>
      <c r="K30" s="165">
        <v>15264.888496653699</v>
      </c>
      <c r="L30" s="165">
        <v>13937.506888249029</v>
      </c>
      <c r="M30" s="165">
        <v>15720.472971513864</v>
      </c>
      <c r="N30" s="165">
        <f t="shared" ref="N30:N34" si="3">SUM(B30:M30)</f>
        <v>171687.8119590625</v>
      </c>
    </row>
    <row r="31" spans="1:14" x14ac:dyDescent="0.25">
      <c r="A31" s="164" t="s">
        <v>218</v>
      </c>
      <c r="B31" s="165">
        <v>2265.2694634657864</v>
      </c>
      <c r="C31" s="165">
        <v>2384.4941720692491</v>
      </c>
      <c r="D31" s="165">
        <v>2503.7188806727113</v>
      </c>
      <c r="E31" s="165">
        <v>2622.943589276174</v>
      </c>
      <c r="F31" s="165">
        <v>2742.1682978796362</v>
      </c>
      <c r="G31" s="165">
        <v>2384.4941720692491</v>
      </c>
      <c r="H31" s="165">
        <v>2742.1682978796362</v>
      </c>
      <c r="I31" s="165">
        <v>2622.943589276174</v>
      </c>
      <c r="J31" s="165">
        <v>2503.7188806727113</v>
      </c>
      <c r="K31" s="165">
        <v>2742.1682978796362</v>
      </c>
      <c r="L31" s="165">
        <v>2503.7188806727113</v>
      </c>
      <c r="M31" s="165">
        <v>2622.943589276174</v>
      </c>
      <c r="N31" s="165">
        <f t="shared" si="3"/>
        <v>30640.750111089845</v>
      </c>
    </row>
    <row r="32" spans="1:14" x14ac:dyDescent="0.25">
      <c r="A32" s="164" t="s">
        <v>219</v>
      </c>
      <c r="B32" s="165">
        <v>133.61853513572521</v>
      </c>
      <c r="C32" s="165">
        <v>140.65108961655284</v>
      </c>
      <c r="D32" s="165">
        <v>147.68364409738049</v>
      </c>
      <c r="E32" s="165">
        <v>154.71619857820812</v>
      </c>
      <c r="F32" s="165">
        <v>161.74875305903578</v>
      </c>
      <c r="G32" s="165">
        <v>140.65108961655284</v>
      </c>
      <c r="H32" s="165">
        <v>161.74875305903578</v>
      </c>
      <c r="I32" s="165">
        <v>154.71619857820812</v>
      </c>
      <c r="J32" s="165">
        <v>147.68364409738049</v>
      </c>
      <c r="K32" s="165">
        <v>161.74875305903578</v>
      </c>
      <c r="L32" s="165">
        <v>147.68364409738049</v>
      </c>
      <c r="M32" s="165">
        <v>154.71619857820812</v>
      </c>
      <c r="N32" s="165">
        <f t="shared" si="3"/>
        <v>1807.3665015727042</v>
      </c>
    </row>
    <row r="33" spans="1:14" x14ac:dyDescent="0.25">
      <c r="A33" s="164" t="s">
        <v>220</v>
      </c>
      <c r="B33" s="165">
        <v>1145.5679498148168</v>
      </c>
      <c r="C33" s="165">
        <v>1199.716368226123</v>
      </c>
      <c r="D33" s="165">
        <v>1259.7021866374291</v>
      </c>
      <c r="E33" s="165">
        <v>1319.6880050487352</v>
      </c>
      <c r="F33" s="165">
        <v>1379.6738234600414</v>
      </c>
      <c r="G33" s="165">
        <v>1199.716368226123</v>
      </c>
      <c r="H33" s="165">
        <v>1379.6738234600414</v>
      </c>
      <c r="I33" s="165">
        <v>1319.6880050487352</v>
      </c>
      <c r="J33" s="165">
        <v>1259.7021866374291</v>
      </c>
      <c r="K33" s="165">
        <v>1379.6738234600414</v>
      </c>
      <c r="L33" s="165">
        <v>1259.7021866374291</v>
      </c>
      <c r="M33" s="165">
        <v>1319.6880050487352</v>
      </c>
      <c r="N33" s="165">
        <f t="shared" si="3"/>
        <v>15422.19273170568</v>
      </c>
    </row>
    <row r="34" spans="1:14" x14ac:dyDescent="0.25">
      <c r="A34" s="164" t="s">
        <v>221</v>
      </c>
      <c r="B34" s="165">
        <v>336.79703199610901</v>
      </c>
      <c r="C34" s="165">
        <v>331.84540210116739</v>
      </c>
      <c r="D34" s="165">
        <v>348.43767220622573</v>
      </c>
      <c r="E34" s="165">
        <v>365.02994231128412</v>
      </c>
      <c r="F34" s="165">
        <v>381.62221241634251</v>
      </c>
      <c r="G34" s="165">
        <v>331.84540210116739</v>
      </c>
      <c r="H34" s="165">
        <v>381.62221241634251</v>
      </c>
      <c r="I34" s="165">
        <v>365.02994231128412</v>
      </c>
      <c r="J34" s="165">
        <v>348.43767220622573</v>
      </c>
      <c r="K34" s="165">
        <v>381.62221241634251</v>
      </c>
      <c r="L34" s="165">
        <v>348.43767220622573</v>
      </c>
      <c r="M34" s="165">
        <v>365.02994231128412</v>
      </c>
      <c r="N34" s="165">
        <f t="shared" si="3"/>
        <v>4285.7573170000005</v>
      </c>
    </row>
    <row r="35" spans="1:14" x14ac:dyDescent="0.25">
      <c r="A35" s="166" t="s">
        <v>222</v>
      </c>
      <c r="B35" s="167">
        <f t="shared" ref="B35:N35" si="4">SUM(B30:B34)</f>
        <v>16491.378260256795</v>
      </c>
      <c r="C35" s="167">
        <f t="shared" si="4"/>
        <v>17330.523116059787</v>
      </c>
      <c r="D35" s="167">
        <f t="shared" si="4"/>
        <v>18197.049271862779</v>
      </c>
      <c r="E35" s="167">
        <f t="shared" si="4"/>
        <v>19063.575427665764</v>
      </c>
      <c r="F35" s="167">
        <f t="shared" si="4"/>
        <v>19930.101583468757</v>
      </c>
      <c r="G35" s="167">
        <f t="shared" si="4"/>
        <v>17330.523116059787</v>
      </c>
      <c r="H35" s="167">
        <f t="shared" si="4"/>
        <v>19930.101583468757</v>
      </c>
      <c r="I35" s="167">
        <f t="shared" si="4"/>
        <v>19063.575427665764</v>
      </c>
      <c r="J35" s="167">
        <f t="shared" si="4"/>
        <v>18197.049271862779</v>
      </c>
      <c r="K35" s="167">
        <f t="shared" si="4"/>
        <v>19930.101583468757</v>
      </c>
      <c r="L35" s="167">
        <f t="shared" si="4"/>
        <v>18197.049271862779</v>
      </c>
      <c r="M35" s="167">
        <f t="shared" si="4"/>
        <v>20182.850706728263</v>
      </c>
      <c r="N35" s="167">
        <f t="shared" si="4"/>
        <v>223843.87862043074</v>
      </c>
    </row>
    <row r="36" spans="1:14" x14ac:dyDescent="0.25">
      <c r="A36" s="168" t="s">
        <v>191</v>
      </c>
      <c r="B36" s="167">
        <f t="shared" ref="B36:N36" si="5">SUM(B28,B35)</f>
        <v>17356.538260256795</v>
      </c>
      <c r="C36" s="167">
        <f t="shared" si="5"/>
        <v>21365.683116059787</v>
      </c>
      <c r="D36" s="167">
        <f t="shared" si="5"/>
        <v>22152.209271862779</v>
      </c>
      <c r="E36" s="167">
        <f t="shared" si="5"/>
        <v>21018.735427665764</v>
      </c>
      <c r="F36" s="167">
        <f t="shared" si="5"/>
        <v>23935.261583468757</v>
      </c>
      <c r="G36" s="167">
        <f t="shared" si="5"/>
        <v>19285.683116059787</v>
      </c>
      <c r="H36" s="167">
        <f t="shared" si="5"/>
        <v>21885.261583468757</v>
      </c>
      <c r="I36" s="167">
        <f t="shared" si="5"/>
        <v>22968.735427665764</v>
      </c>
      <c r="J36" s="167">
        <f t="shared" si="5"/>
        <v>22452.209271862779</v>
      </c>
      <c r="K36" s="167">
        <f t="shared" si="5"/>
        <v>21685.261583468757</v>
      </c>
      <c r="L36" s="167">
        <f t="shared" si="5"/>
        <v>19952.209271862779</v>
      </c>
      <c r="M36" s="167">
        <f t="shared" si="5"/>
        <v>21048.050706728263</v>
      </c>
      <c r="N36" s="167">
        <f t="shared" si="5"/>
        <v>255105.83862043073</v>
      </c>
    </row>
    <row r="37" spans="1:14" x14ac:dyDescent="0.25">
      <c r="A37" s="159" t="s">
        <v>192</v>
      </c>
      <c r="B37" s="160">
        <f t="shared" ref="B37:N37" si="6">B8-B36</f>
        <v>-17356.538260256795</v>
      </c>
      <c r="C37" s="160">
        <f t="shared" si="6"/>
        <v>-21365.683116059787</v>
      </c>
      <c r="D37" s="160">
        <f t="shared" si="6"/>
        <v>-22152.209271862779</v>
      </c>
      <c r="E37" s="160">
        <f t="shared" si="6"/>
        <v>-21018.735427665764</v>
      </c>
      <c r="F37" s="160">
        <f t="shared" si="6"/>
        <v>-23935.261583468757</v>
      </c>
      <c r="G37" s="160">
        <f t="shared" si="6"/>
        <v>-19285.683116059787</v>
      </c>
      <c r="H37" s="160">
        <f t="shared" si="6"/>
        <v>-21885.261583468757</v>
      </c>
      <c r="I37" s="160">
        <f t="shared" si="6"/>
        <v>-22968.735427665764</v>
      </c>
      <c r="J37" s="160">
        <f t="shared" si="6"/>
        <v>-22452.209271862779</v>
      </c>
      <c r="K37" s="160">
        <f t="shared" si="6"/>
        <v>-21685.261583468757</v>
      </c>
      <c r="L37" s="160">
        <f t="shared" si="6"/>
        <v>-19952.209271862779</v>
      </c>
      <c r="M37" s="160">
        <f t="shared" si="6"/>
        <v>-21048.050706728263</v>
      </c>
      <c r="N37" s="160">
        <f t="shared" si="6"/>
        <v>-255105.83862043073</v>
      </c>
    </row>
    <row r="38" spans="1:14" x14ac:dyDescent="0.25">
      <c r="A38" s="159" t="s">
        <v>29</v>
      </c>
      <c r="B38" s="160">
        <f t="shared" ref="B38:N38" si="7">B37+0+0</f>
        <v>-17356.538260256795</v>
      </c>
      <c r="C38" s="160">
        <f t="shared" si="7"/>
        <v>-21365.683116059787</v>
      </c>
      <c r="D38" s="160">
        <f t="shared" si="7"/>
        <v>-22152.209271862779</v>
      </c>
      <c r="E38" s="160">
        <f t="shared" si="7"/>
        <v>-21018.735427665764</v>
      </c>
      <c r="F38" s="160">
        <f t="shared" si="7"/>
        <v>-23935.261583468757</v>
      </c>
      <c r="G38" s="160">
        <f t="shared" si="7"/>
        <v>-19285.683116059787</v>
      </c>
      <c r="H38" s="160">
        <f t="shared" si="7"/>
        <v>-21885.261583468757</v>
      </c>
      <c r="I38" s="160">
        <f t="shared" si="7"/>
        <v>-22968.735427665764</v>
      </c>
      <c r="J38" s="160">
        <f t="shared" si="7"/>
        <v>-22452.209271862779</v>
      </c>
      <c r="K38" s="160">
        <f t="shared" si="7"/>
        <v>-21685.261583468757</v>
      </c>
      <c r="L38" s="160">
        <f t="shared" si="7"/>
        <v>-19952.209271862779</v>
      </c>
      <c r="M38" s="160">
        <f t="shared" si="7"/>
        <v>-21048.050706728263</v>
      </c>
      <c r="N38" s="160">
        <f t="shared" si="7"/>
        <v>-255105.83862043073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75C82-1465-5249-B693-E2DE40AC924A}">
  <sheetPr codeName="Sheet33">
    <tabColor rgb="FFFFC000"/>
    <pageSetUpPr fitToPage="1"/>
  </sheetPr>
  <dimension ref="A1:N42"/>
  <sheetViews>
    <sheetView topLeftCell="A6" workbookViewId="0">
      <selection activeCell="B14" sqref="B14"/>
    </sheetView>
  </sheetViews>
  <sheetFormatPr defaultColWidth="8.875" defaultRowHeight="15.75" x14ac:dyDescent="0.25"/>
  <cols>
    <col min="1" max="1" width="49" bestFit="1" customWidth="1"/>
    <col min="2" max="13" width="8.125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388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182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16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24</v>
      </c>
      <c r="B11" s="165">
        <v>10</v>
      </c>
      <c r="C11" s="165">
        <v>10</v>
      </c>
      <c r="D11" s="165">
        <v>10</v>
      </c>
      <c r="E11" s="165">
        <v>10</v>
      </c>
      <c r="F11" s="165">
        <v>10</v>
      </c>
      <c r="G11" s="165">
        <v>10</v>
      </c>
      <c r="H11" s="165">
        <v>10</v>
      </c>
      <c r="I11" s="165">
        <v>10</v>
      </c>
      <c r="J11" s="165">
        <v>10</v>
      </c>
      <c r="K11" s="165">
        <v>10</v>
      </c>
      <c r="L11" s="165">
        <v>10</v>
      </c>
      <c r="M11" s="165">
        <v>10</v>
      </c>
      <c r="N11" s="165">
        <f t="shared" ref="N11:N29" si="1">SUM(B11:M11)</f>
        <v>120</v>
      </c>
    </row>
    <row r="12" spans="1:14" x14ac:dyDescent="0.25">
      <c r="A12" s="164" t="s">
        <v>206</v>
      </c>
      <c r="B12" s="165">
        <v>40</v>
      </c>
      <c r="C12" s="165">
        <v>40</v>
      </c>
      <c r="D12" s="165">
        <v>40</v>
      </c>
      <c r="E12" s="165">
        <v>40</v>
      </c>
      <c r="F12" s="165">
        <v>40</v>
      </c>
      <c r="G12" s="165">
        <v>40</v>
      </c>
      <c r="H12" s="165">
        <v>40</v>
      </c>
      <c r="I12" s="165">
        <v>40</v>
      </c>
      <c r="J12" s="165">
        <v>40</v>
      </c>
      <c r="K12" s="165">
        <v>40</v>
      </c>
      <c r="L12" s="165">
        <v>40</v>
      </c>
      <c r="M12" s="165">
        <v>40</v>
      </c>
      <c r="N12" s="165">
        <f t="shared" si="1"/>
        <v>480</v>
      </c>
    </row>
    <row r="13" spans="1:14" x14ac:dyDescent="0.25">
      <c r="A13" s="164" t="s">
        <v>207</v>
      </c>
      <c r="B13" s="165">
        <v>180</v>
      </c>
      <c r="C13" s="165">
        <v>180</v>
      </c>
      <c r="D13" s="165">
        <v>180</v>
      </c>
      <c r="E13" s="165">
        <v>180</v>
      </c>
      <c r="F13" s="165">
        <v>180</v>
      </c>
      <c r="G13" s="165">
        <v>180</v>
      </c>
      <c r="H13" s="165">
        <v>180</v>
      </c>
      <c r="I13" s="165">
        <v>180</v>
      </c>
      <c r="J13" s="165">
        <v>180</v>
      </c>
      <c r="K13" s="165">
        <v>180</v>
      </c>
      <c r="L13" s="165">
        <v>180</v>
      </c>
      <c r="M13" s="165">
        <v>180</v>
      </c>
      <c r="N13" s="165">
        <f t="shared" si="1"/>
        <v>2160</v>
      </c>
    </row>
    <row r="14" spans="1:14" x14ac:dyDescent="0.25">
      <c r="A14" s="164" t="s">
        <v>317</v>
      </c>
      <c r="B14" s="165">
        <v>1021.67</v>
      </c>
      <c r="C14" s="165">
        <v>1021.67</v>
      </c>
      <c r="D14" s="165">
        <v>1021.67</v>
      </c>
      <c r="E14" s="165">
        <v>1021.67</v>
      </c>
      <c r="F14" s="165">
        <v>1021.67</v>
      </c>
      <c r="G14" s="165">
        <v>1021.67</v>
      </c>
      <c r="H14" s="165">
        <v>1021.67</v>
      </c>
      <c r="I14" s="165">
        <v>1021.67</v>
      </c>
      <c r="J14" s="165">
        <v>1021.67</v>
      </c>
      <c r="K14" s="165">
        <v>1021.67</v>
      </c>
      <c r="L14" s="165">
        <v>1021.67</v>
      </c>
      <c r="M14" s="165">
        <v>1021.67</v>
      </c>
      <c r="N14" s="165">
        <f t="shared" si="1"/>
        <v>12260.039999999999</v>
      </c>
    </row>
    <row r="15" spans="1:14" x14ac:dyDescent="0.25">
      <c r="A15" s="164" t="s">
        <v>318</v>
      </c>
      <c r="B15" s="165">
        <v>0</v>
      </c>
      <c r="C15" s="165">
        <v>2500</v>
      </c>
      <c r="D15" s="165">
        <v>2500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f t="shared" si="1"/>
        <v>5000</v>
      </c>
    </row>
    <row r="16" spans="1:14" x14ac:dyDescent="0.25">
      <c r="A16" s="164" t="s">
        <v>208</v>
      </c>
      <c r="B16" s="165">
        <v>175</v>
      </c>
      <c r="C16" s="165">
        <v>175</v>
      </c>
      <c r="D16" s="165">
        <v>175</v>
      </c>
      <c r="E16" s="165">
        <v>175</v>
      </c>
      <c r="F16" s="165">
        <v>175</v>
      </c>
      <c r="G16" s="165">
        <v>175</v>
      </c>
      <c r="H16" s="165">
        <v>175</v>
      </c>
      <c r="I16" s="165">
        <v>175</v>
      </c>
      <c r="J16" s="165">
        <v>175</v>
      </c>
      <c r="K16" s="165">
        <v>175</v>
      </c>
      <c r="L16" s="165">
        <v>175</v>
      </c>
      <c r="M16" s="165">
        <v>175</v>
      </c>
      <c r="N16" s="165">
        <f t="shared" si="1"/>
        <v>2100</v>
      </c>
    </row>
    <row r="17" spans="1:14" x14ac:dyDescent="0.25">
      <c r="A17" s="164" t="s">
        <v>257</v>
      </c>
      <c r="B17" s="165">
        <v>100</v>
      </c>
      <c r="C17" s="165">
        <v>100</v>
      </c>
      <c r="D17" s="165">
        <v>100</v>
      </c>
      <c r="E17" s="165">
        <v>100</v>
      </c>
      <c r="F17" s="165">
        <v>100</v>
      </c>
      <c r="G17" s="165">
        <v>100</v>
      </c>
      <c r="H17" s="165">
        <v>100</v>
      </c>
      <c r="I17" s="165">
        <v>100</v>
      </c>
      <c r="J17" s="165">
        <v>100</v>
      </c>
      <c r="K17" s="165">
        <v>100</v>
      </c>
      <c r="L17" s="165">
        <v>100</v>
      </c>
      <c r="M17" s="165">
        <v>100</v>
      </c>
      <c r="N17" s="165">
        <f t="shared" si="1"/>
        <v>1200</v>
      </c>
    </row>
    <row r="18" spans="1:14" x14ac:dyDescent="0.25">
      <c r="A18" s="164" t="s">
        <v>319</v>
      </c>
      <c r="B18" s="165">
        <v>200</v>
      </c>
      <c r="C18" s="165">
        <v>200</v>
      </c>
      <c r="D18" s="165">
        <v>200</v>
      </c>
      <c r="E18" s="165">
        <v>200</v>
      </c>
      <c r="F18" s="165">
        <v>200</v>
      </c>
      <c r="G18" s="165">
        <v>200</v>
      </c>
      <c r="H18" s="165">
        <v>200</v>
      </c>
      <c r="I18" s="165">
        <v>200</v>
      </c>
      <c r="J18" s="165">
        <v>200</v>
      </c>
      <c r="K18" s="165">
        <v>200</v>
      </c>
      <c r="L18" s="165">
        <v>200</v>
      </c>
      <c r="M18" s="165">
        <v>200</v>
      </c>
      <c r="N18" s="165">
        <f t="shared" si="1"/>
        <v>2400</v>
      </c>
    </row>
    <row r="19" spans="1:14" x14ac:dyDescent="0.25">
      <c r="A19" s="164" t="s">
        <v>329</v>
      </c>
      <c r="B19" s="165">
        <v>50</v>
      </c>
      <c r="C19" s="165">
        <v>50</v>
      </c>
      <c r="D19" s="165">
        <v>50</v>
      </c>
      <c r="E19" s="165">
        <v>50</v>
      </c>
      <c r="F19" s="165">
        <v>50</v>
      </c>
      <c r="G19" s="165">
        <v>50</v>
      </c>
      <c r="H19" s="165">
        <v>1000</v>
      </c>
      <c r="I19" s="165">
        <v>50</v>
      </c>
      <c r="J19" s="165">
        <v>50</v>
      </c>
      <c r="K19" s="165">
        <v>50</v>
      </c>
      <c r="L19" s="165">
        <v>50</v>
      </c>
      <c r="M19" s="165">
        <v>50</v>
      </c>
      <c r="N19" s="165">
        <f t="shared" si="1"/>
        <v>1550</v>
      </c>
    </row>
    <row r="20" spans="1:14" x14ac:dyDescent="0.25">
      <c r="A20" s="164" t="s">
        <v>259</v>
      </c>
      <c r="B20" s="165">
        <v>210</v>
      </c>
      <c r="C20" s="165">
        <v>210</v>
      </c>
      <c r="D20" s="165">
        <v>210</v>
      </c>
      <c r="E20" s="165">
        <v>210</v>
      </c>
      <c r="F20" s="165">
        <v>210</v>
      </c>
      <c r="G20" s="165">
        <v>210</v>
      </c>
      <c r="H20" s="165">
        <v>210</v>
      </c>
      <c r="I20" s="165">
        <v>210</v>
      </c>
      <c r="J20" s="165">
        <v>210</v>
      </c>
      <c r="K20" s="165">
        <v>210</v>
      </c>
      <c r="L20" s="165">
        <v>210</v>
      </c>
      <c r="M20" s="165">
        <v>210</v>
      </c>
      <c r="N20" s="165">
        <f t="shared" si="1"/>
        <v>2520</v>
      </c>
    </row>
    <row r="21" spans="1:14" x14ac:dyDescent="0.25">
      <c r="A21" s="164" t="s">
        <v>351</v>
      </c>
      <c r="B21" s="165">
        <v>10</v>
      </c>
      <c r="C21" s="165">
        <v>10</v>
      </c>
      <c r="D21" s="165">
        <v>10</v>
      </c>
      <c r="E21" s="165">
        <v>10</v>
      </c>
      <c r="F21" s="165">
        <v>10</v>
      </c>
      <c r="G21" s="165">
        <v>10</v>
      </c>
      <c r="H21" s="165">
        <v>10</v>
      </c>
      <c r="I21" s="165">
        <v>10</v>
      </c>
      <c r="J21" s="165">
        <v>10</v>
      </c>
      <c r="K21" s="165">
        <v>10</v>
      </c>
      <c r="L21" s="165">
        <v>10</v>
      </c>
      <c r="M21" s="165">
        <v>10</v>
      </c>
      <c r="N21" s="165">
        <f t="shared" si="1"/>
        <v>120</v>
      </c>
    </row>
    <row r="22" spans="1:14" x14ac:dyDescent="0.25">
      <c r="A22" s="164" t="s">
        <v>260</v>
      </c>
      <c r="B22" s="165">
        <v>300</v>
      </c>
      <c r="C22" s="165">
        <v>300</v>
      </c>
      <c r="D22" s="165">
        <v>300</v>
      </c>
      <c r="E22" s="165">
        <v>300</v>
      </c>
      <c r="F22" s="165">
        <v>300</v>
      </c>
      <c r="G22" s="165">
        <v>300</v>
      </c>
      <c r="H22" s="165">
        <v>300</v>
      </c>
      <c r="I22" s="165">
        <v>300</v>
      </c>
      <c r="J22" s="165">
        <v>300</v>
      </c>
      <c r="K22" s="165">
        <v>300</v>
      </c>
      <c r="L22" s="165">
        <v>300</v>
      </c>
      <c r="M22" s="165">
        <v>300</v>
      </c>
      <c r="N22" s="165">
        <f t="shared" si="1"/>
        <v>3600</v>
      </c>
    </row>
    <row r="23" spans="1:14" x14ac:dyDescent="0.25">
      <c r="A23" s="164" t="s">
        <v>263</v>
      </c>
      <c r="B23" s="165">
        <v>112.05</v>
      </c>
      <c r="C23" s="165">
        <v>112.05</v>
      </c>
      <c r="D23" s="165">
        <v>112.05</v>
      </c>
      <c r="E23" s="165">
        <v>112.05</v>
      </c>
      <c r="F23" s="165">
        <v>112.05</v>
      </c>
      <c r="G23" s="165">
        <v>112.05</v>
      </c>
      <c r="H23" s="165">
        <v>112.05</v>
      </c>
      <c r="I23" s="165">
        <v>112.05</v>
      </c>
      <c r="J23" s="165">
        <v>112.05</v>
      </c>
      <c r="K23" s="165">
        <v>112.05</v>
      </c>
      <c r="L23" s="165">
        <v>112.05</v>
      </c>
      <c r="M23" s="165">
        <v>112.05</v>
      </c>
      <c r="N23" s="165">
        <f t="shared" si="1"/>
        <v>1344.5999999999997</v>
      </c>
    </row>
    <row r="24" spans="1:14" x14ac:dyDescent="0.25">
      <c r="A24" s="164" t="s">
        <v>332</v>
      </c>
      <c r="B24" s="165">
        <v>45</v>
      </c>
      <c r="C24" s="165">
        <v>45</v>
      </c>
      <c r="D24" s="165">
        <v>45</v>
      </c>
      <c r="E24" s="165">
        <v>45</v>
      </c>
      <c r="F24" s="165">
        <v>45</v>
      </c>
      <c r="G24" s="165">
        <v>45</v>
      </c>
      <c r="H24" s="165">
        <v>45</v>
      </c>
      <c r="I24" s="165">
        <v>45</v>
      </c>
      <c r="J24" s="165">
        <v>45</v>
      </c>
      <c r="K24" s="165">
        <v>45</v>
      </c>
      <c r="L24" s="165">
        <v>45</v>
      </c>
      <c r="M24" s="165">
        <v>45</v>
      </c>
      <c r="N24" s="165">
        <f t="shared" si="1"/>
        <v>540</v>
      </c>
    </row>
    <row r="25" spans="1:14" x14ac:dyDescent="0.25">
      <c r="A25" s="164" t="s">
        <v>389</v>
      </c>
      <c r="B25" s="165">
        <v>250</v>
      </c>
      <c r="C25" s="165">
        <v>250</v>
      </c>
      <c r="D25" s="165">
        <v>250</v>
      </c>
      <c r="E25" s="165">
        <v>250</v>
      </c>
      <c r="F25" s="165">
        <v>250</v>
      </c>
      <c r="G25" s="165">
        <v>250</v>
      </c>
      <c r="H25" s="165">
        <v>250</v>
      </c>
      <c r="I25" s="165">
        <v>250</v>
      </c>
      <c r="J25" s="165">
        <v>250</v>
      </c>
      <c r="K25" s="165">
        <v>250</v>
      </c>
      <c r="L25" s="165">
        <v>250</v>
      </c>
      <c r="M25" s="165">
        <v>250</v>
      </c>
      <c r="N25" s="165">
        <f t="shared" si="1"/>
        <v>3000</v>
      </c>
    </row>
    <row r="26" spans="1:14" x14ac:dyDescent="0.25">
      <c r="A26" s="164" t="s">
        <v>390</v>
      </c>
      <c r="B26" s="165">
        <v>2350</v>
      </c>
      <c r="C26" s="165">
        <v>2350</v>
      </c>
      <c r="D26" s="165">
        <v>2350</v>
      </c>
      <c r="E26" s="165">
        <v>2350</v>
      </c>
      <c r="F26" s="165">
        <v>2350</v>
      </c>
      <c r="G26" s="165">
        <v>2350</v>
      </c>
      <c r="H26" s="165">
        <v>2350</v>
      </c>
      <c r="I26" s="165">
        <v>2350</v>
      </c>
      <c r="J26" s="165">
        <v>2350</v>
      </c>
      <c r="K26" s="165">
        <v>2350</v>
      </c>
      <c r="L26" s="165">
        <v>2350</v>
      </c>
      <c r="M26" s="165">
        <v>2350</v>
      </c>
      <c r="N26" s="165">
        <f t="shared" si="1"/>
        <v>28200</v>
      </c>
    </row>
    <row r="27" spans="1:14" x14ac:dyDescent="0.25">
      <c r="A27" s="164" t="s">
        <v>267</v>
      </c>
      <c r="B27" s="165">
        <v>20.14</v>
      </c>
      <c r="C27" s="165">
        <v>20.14</v>
      </c>
      <c r="D27" s="165">
        <v>20.14</v>
      </c>
      <c r="E27" s="165">
        <v>20.14</v>
      </c>
      <c r="F27" s="165">
        <v>20.14</v>
      </c>
      <c r="G27" s="165">
        <v>20.14</v>
      </c>
      <c r="H27" s="165">
        <v>20.14</v>
      </c>
      <c r="I27" s="165">
        <v>20.14</v>
      </c>
      <c r="J27" s="165">
        <v>20.14</v>
      </c>
      <c r="K27" s="165">
        <v>20.14</v>
      </c>
      <c r="L27" s="165">
        <v>20.14</v>
      </c>
      <c r="M27" s="165">
        <v>20.14</v>
      </c>
      <c r="N27" s="165">
        <f t="shared" si="1"/>
        <v>241.67999999999995</v>
      </c>
    </row>
    <row r="28" spans="1:14" x14ac:dyDescent="0.25">
      <c r="A28" s="164" t="s">
        <v>268</v>
      </c>
      <c r="B28" s="165">
        <v>127.39</v>
      </c>
      <c r="C28" s="165">
        <v>127.39</v>
      </c>
      <c r="D28" s="165">
        <v>127.39</v>
      </c>
      <c r="E28" s="165">
        <v>127.39</v>
      </c>
      <c r="F28" s="165">
        <v>127.39</v>
      </c>
      <c r="G28" s="165">
        <v>127.39</v>
      </c>
      <c r="H28" s="165">
        <v>127.39</v>
      </c>
      <c r="I28" s="165">
        <v>127.39</v>
      </c>
      <c r="J28" s="165">
        <v>127.39</v>
      </c>
      <c r="K28" s="165">
        <v>127.39</v>
      </c>
      <c r="L28" s="165">
        <v>127.39</v>
      </c>
      <c r="M28" s="165">
        <v>127.39</v>
      </c>
      <c r="N28" s="165">
        <f t="shared" si="1"/>
        <v>1528.6800000000003</v>
      </c>
    </row>
    <row r="29" spans="1:14" x14ac:dyDescent="0.25">
      <c r="A29" s="164" t="s">
        <v>365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f t="shared" si="1"/>
        <v>0</v>
      </c>
    </row>
    <row r="30" spans="1:14" x14ac:dyDescent="0.25">
      <c r="A30" s="166" t="s">
        <v>190</v>
      </c>
      <c r="B30" s="167">
        <f t="shared" ref="B30:N30" si="2">SUM(B11:B29)</f>
        <v>5201.2500000000009</v>
      </c>
      <c r="C30" s="167">
        <f t="shared" si="2"/>
        <v>7701.2500000000009</v>
      </c>
      <c r="D30" s="167">
        <f t="shared" si="2"/>
        <v>7701.2500000000009</v>
      </c>
      <c r="E30" s="167">
        <f t="shared" si="2"/>
        <v>5201.2500000000009</v>
      </c>
      <c r="F30" s="167">
        <f t="shared" si="2"/>
        <v>5201.2500000000009</v>
      </c>
      <c r="G30" s="167">
        <f t="shared" si="2"/>
        <v>5201.2500000000009</v>
      </c>
      <c r="H30" s="167">
        <f t="shared" si="2"/>
        <v>6151.2500000000009</v>
      </c>
      <c r="I30" s="167">
        <f t="shared" si="2"/>
        <v>5201.2500000000009</v>
      </c>
      <c r="J30" s="167">
        <f t="shared" si="2"/>
        <v>5201.2500000000009</v>
      </c>
      <c r="K30" s="167">
        <f t="shared" si="2"/>
        <v>5201.2500000000009</v>
      </c>
      <c r="L30" s="167">
        <f t="shared" si="2"/>
        <v>5201.2500000000009</v>
      </c>
      <c r="M30" s="167">
        <f t="shared" si="2"/>
        <v>5201.2500000000009</v>
      </c>
      <c r="N30" s="167">
        <f t="shared" si="2"/>
        <v>68365</v>
      </c>
    </row>
    <row r="31" spans="1:14" x14ac:dyDescent="0.25">
      <c r="A31" s="163" t="s">
        <v>216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 x14ac:dyDescent="0.25">
      <c r="A32" s="164" t="s">
        <v>217</v>
      </c>
      <c r="B32" s="165">
        <f>35979.3004077821-15000</f>
        <v>20979.300407782102</v>
      </c>
      <c r="C32" s="165">
        <v>37872.947797665365</v>
      </c>
      <c r="D32" s="165">
        <v>39766.595187548635</v>
      </c>
      <c r="E32" s="165">
        <v>41660.242577431905</v>
      </c>
      <c r="F32" s="165">
        <v>43553.889967315175</v>
      </c>
      <c r="G32" s="165">
        <v>37872.947797665365</v>
      </c>
      <c r="H32" s="165">
        <v>43553.889967315175</v>
      </c>
      <c r="I32" s="165">
        <v>41660.242577431905</v>
      </c>
      <c r="J32" s="165">
        <v>39766.595187548635</v>
      </c>
      <c r="K32" s="165">
        <v>43553.889967315175</v>
      </c>
      <c r="L32" s="165">
        <v>39766.595187548635</v>
      </c>
      <c r="M32" s="165">
        <v>60959.772857931908</v>
      </c>
      <c r="N32" s="165">
        <f t="shared" ref="N32:N38" si="3">SUM(B32:M32)</f>
        <v>490966.90948050003</v>
      </c>
    </row>
    <row r="33" spans="1:14" x14ac:dyDescent="0.25">
      <c r="A33" s="164" t="s">
        <v>218</v>
      </c>
      <c r="B33" s="165">
        <v>7424.1740136049211</v>
      </c>
      <c r="C33" s="165">
        <v>7814.92001432097</v>
      </c>
      <c r="D33" s="165">
        <v>8205.666015037019</v>
      </c>
      <c r="E33" s="165">
        <v>8596.412015753067</v>
      </c>
      <c r="F33" s="165">
        <v>8987.158016469115</v>
      </c>
      <c r="G33" s="165">
        <v>7814.92001432097</v>
      </c>
      <c r="H33" s="165">
        <v>8987.158016469115</v>
      </c>
      <c r="I33" s="165">
        <v>8596.412015753067</v>
      </c>
      <c r="J33" s="165">
        <v>8205.666015037019</v>
      </c>
      <c r="K33" s="165">
        <v>8987.158016469115</v>
      </c>
      <c r="L33" s="165">
        <v>8205.666015037019</v>
      </c>
      <c r="M33" s="165">
        <v>11780.834512035566</v>
      </c>
      <c r="N33" s="165">
        <f t="shared" si="3"/>
        <v>103606.14468030696</v>
      </c>
    </row>
    <row r="34" spans="1:14" x14ac:dyDescent="0.25">
      <c r="A34" s="164" t="s">
        <v>219</v>
      </c>
      <c r="B34" s="165">
        <v>381.24136826619866</v>
      </c>
      <c r="C34" s="165">
        <v>401.30670343810385</v>
      </c>
      <c r="D34" s="165">
        <v>421.37203861000904</v>
      </c>
      <c r="E34" s="165">
        <v>441.43737378191423</v>
      </c>
      <c r="F34" s="165">
        <v>461.50270895381942</v>
      </c>
      <c r="G34" s="165">
        <v>401.30670343810385</v>
      </c>
      <c r="H34" s="165">
        <v>461.50270895381942</v>
      </c>
      <c r="I34" s="165">
        <v>441.43737378191423</v>
      </c>
      <c r="J34" s="165">
        <v>421.37203861000904</v>
      </c>
      <c r="K34" s="165">
        <v>461.50270895381942</v>
      </c>
      <c r="L34" s="165">
        <v>421.37203861000904</v>
      </c>
      <c r="M34" s="165">
        <v>441.43737378191423</v>
      </c>
      <c r="N34" s="165">
        <f t="shared" si="3"/>
        <v>5156.7911391796351</v>
      </c>
    </row>
    <row r="35" spans="1:14" x14ac:dyDescent="0.25">
      <c r="A35" s="164" t="s">
        <v>220</v>
      </c>
      <c r="B35" s="165">
        <v>2773.0520017285244</v>
      </c>
      <c r="C35" s="165">
        <v>686.95852813528893</v>
      </c>
      <c r="D35" s="165">
        <v>721.3064545420533</v>
      </c>
      <c r="E35" s="165">
        <v>755.65438094881779</v>
      </c>
      <c r="F35" s="165">
        <v>790.00230735558227</v>
      </c>
      <c r="G35" s="165">
        <v>686.95852813528893</v>
      </c>
      <c r="H35" s="165">
        <v>790.00230735558227</v>
      </c>
      <c r="I35" s="165">
        <v>755.65438094881779</v>
      </c>
      <c r="J35" s="165">
        <v>721.3064545420533</v>
      </c>
      <c r="K35" s="165">
        <v>790.00230735558227</v>
      </c>
      <c r="L35" s="165">
        <v>721.3064545420533</v>
      </c>
      <c r="M35" s="165">
        <v>755.65438094881779</v>
      </c>
      <c r="N35" s="165">
        <f t="shared" si="3"/>
        <v>10947.858486538462</v>
      </c>
    </row>
    <row r="36" spans="1:14" x14ac:dyDescent="0.25">
      <c r="A36" s="164" t="s">
        <v>221</v>
      </c>
      <c r="B36" s="165">
        <v>4316.8847258337337</v>
      </c>
      <c r="C36" s="165">
        <v>3423.0393956144558</v>
      </c>
      <c r="D36" s="165">
        <v>3594.1913653951788</v>
      </c>
      <c r="E36" s="165">
        <v>3765.3433351759018</v>
      </c>
      <c r="F36" s="165">
        <v>3936.4953049566243</v>
      </c>
      <c r="G36" s="165">
        <v>3423.0393956144558</v>
      </c>
      <c r="H36" s="165">
        <v>3936.4953049566243</v>
      </c>
      <c r="I36" s="165">
        <v>3765.3433351759018</v>
      </c>
      <c r="J36" s="165">
        <v>3594.1913653951788</v>
      </c>
      <c r="K36" s="165">
        <v>3936.4953049566243</v>
      </c>
      <c r="L36" s="165">
        <v>3594.1913653951788</v>
      </c>
      <c r="M36" s="165">
        <v>3765.3433351759018</v>
      </c>
      <c r="N36" s="165">
        <f t="shared" si="3"/>
        <v>45051.053533645761</v>
      </c>
    </row>
    <row r="37" spans="1:14" x14ac:dyDescent="0.25">
      <c r="A37" s="164" t="s">
        <v>391</v>
      </c>
      <c r="B37" s="165">
        <v>3063.6675101945525</v>
      </c>
      <c r="C37" s="165">
        <v>946.82369494163424</v>
      </c>
      <c r="D37" s="165">
        <v>994.16487968871593</v>
      </c>
      <c r="E37" s="165">
        <v>1041.5060644357977</v>
      </c>
      <c r="F37" s="165">
        <v>1088.8472491828793</v>
      </c>
      <c r="G37" s="165">
        <v>946.82369494163424</v>
      </c>
      <c r="H37" s="165">
        <v>1088.8472491828793</v>
      </c>
      <c r="I37" s="165">
        <v>1041.5060644357977</v>
      </c>
      <c r="J37" s="165">
        <v>994.16487968871593</v>
      </c>
      <c r="K37" s="165">
        <v>1088.8472491828793</v>
      </c>
      <c r="L37" s="165">
        <v>994.16487968871593</v>
      </c>
      <c r="M37" s="165">
        <v>1041.5760644357977</v>
      </c>
      <c r="N37" s="165">
        <f t="shared" si="3"/>
        <v>14330.939480000003</v>
      </c>
    </row>
    <row r="38" spans="1:14" x14ac:dyDescent="0.25">
      <c r="A38" s="164" t="s">
        <v>233</v>
      </c>
      <c r="B38" s="165">
        <v>444.57194871794871</v>
      </c>
      <c r="C38" s="165">
        <v>444.57194871794871</v>
      </c>
      <c r="D38" s="165">
        <v>444.57194871794871</v>
      </c>
      <c r="E38" s="165">
        <v>444.57194871794871</v>
      </c>
      <c r="F38" s="165">
        <v>444.57194871794871</v>
      </c>
      <c r="G38" s="165">
        <v>444.57194871794871</v>
      </c>
      <c r="H38" s="165">
        <v>444.57194871794871</v>
      </c>
      <c r="I38" s="165">
        <v>444.57194871794871</v>
      </c>
      <c r="J38" s="165">
        <v>444.57194871794871</v>
      </c>
      <c r="K38" s="165">
        <v>444.57194871794871</v>
      </c>
      <c r="L38" s="165">
        <v>444.57194871794871</v>
      </c>
      <c r="M38" s="165">
        <v>444.64194871794871</v>
      </c>
      <c r="N38" s="165">
        <f t="shared" si="3"/>
        <v>5334.9333846153841</v>
      </c>
    </row>
    <row r="39" spans="1:14" x14ac:dyDescent="0.25">
      <c r="A39" s="166" t="s">
        <v>222</v>
      </c>
      <c r="B39" s="167">
        <f t="shared" ref="B39:N39" si="4">SUM(B32:B38)</f>
        <v>39382.891976127983</v>
      </c>
      <c r="C39" s="167">
        <f t="shared" si="4"/>
        <v>51590.568082833764</v>
      </c>
      <c r="D39" s="167">
        <f t="shared" si="4"/>
        <v>54147.867889539564</v>
      </c>
      <c r="E39" s="167">
        <f t="shared" si="4"/>
        <v>56705.167696245349</v>
      </c>
      <c r="F39" s="167">
        <f t="shared" si="4"/>
        <v>59262.467502951149</v>
      </c>
      <c r="G39" s="167">
        <f t="shared" si="4"/>
        <v>51590.568082833764</v>
      </c>
      <c r="H39" s="167">
        <f t="shared" si="4"/>
        <v>59262.467502951149</v>
      </c>
      <c r="I39" s="167">
        <f t="shared" si="4"/>
        <v>56705.167696245349</v>
      </c>
      <c r="J39" s="167">
        <f t="shared" si="4"/>
        <v>54147.867889539564</v>
      </c>
      <c r="K39" s="167">
        <f t="shared" si="4"/>
        <v>59262.467502951149</v>
      </c>
      <c r="L39" s="167">
        <f t="shared" si="4"/>
        <v>54147.867889539564</v>
      </c>
      <c r="M39" s="167">
        <f t="shared" si="4"/>
        <v>79189.260473027854</v>
      </c>
      <c r="N39" s="167">
        <f t="shared" si="4"/>
        <v>675394.63018478639</v>
      </c>
    </row>
    <row r="40" spans="1:14" x14ac:dyDescent="0.25">
      <c r="A40" s="168" t="s">
        <v>191</v>
      </c>
      <c r="B40" s="167">
        <f t="shared" ref="B40:N40" si="5">SUM(B30,B39)</f>
        <v>44584.141976127983</v>
      </c>
      <c r="C40" s="167">
        <f t="shared" si="5"/>
        <v>59291.818082833764</v>
      </c>
      <c r="D40" s="167">
        <f t="shared" si="5"/>
        <v>61849.117889539564</v>
      </c>
      <c r="E40" s="167">
        <f t="shared" si="5"/>
        <v>61906.417696245349</v>
      </c>
      <c r="F40" s="167">
        <f t="shared" si="5"/>
        <v>64463.717502951149</v>
      </c>
      <c r="G40" s="167">
        <f t="shared" si="5"/>
        <v>56791.818082833764</v>
      </c>
      <c r="H40" s="167">
        <f t="shared" si="5"/>
        <v>65413.717502951149</v>
      </c>
      <c r="I40" s="167">
        <f t="shared" si="5"/>
        <v>61906.417696245349</v>
      </c>
      <c r="J40" s="167">
        <f t="shared" si="5"/>
        <v>59349.117889539564</v>
      </c>
      <c r="K40" s="167">
        <f t="shared" si="5"/>
        <v>64463.717502951149</v>
      </c>
      <c r="L40" s="167">
        <f t="shared" si="5"/>
        <v>59349.117889539564</v>
      </c>
      <c r="M40" s="167">
        <f t="shared" si="5"/>
        <v>84390.510473027854</v>
      </c>
      <c r="N40" s="167">
        <f t="shared" si="5"/>
        <v>743759.63018478639</v>
      </c>
    </row>
    <row r="41" spans="1:14" x14ac:dyDescent="0.25">
      <c r="A41" s="159" t="s">
        <v>192</v>
      </c>
      <c r="B41" s="160">
        <f t="shared" ref="B41:N41" si="6">B8-B40</f>
        <v>-44584.141976127983</v>
      </c>
      <c r="C41" s="160">
        <f t="shared" si="6"/>
        <v>-59291.818082833764</v>
      </c>
      <c r="D41" s="160">
        <f t="shared" si="6"/>
        <v>-61849.117889539564</v>
      </c>
      <c r="E41" s="160">
        <f t="shared" si="6"/>
        <v>-61906.417696245349</v>
      </c>
      <c r="F41" s="160">
        <f t="shared" si="6"/>
        <v>-64463.717502951149</v>
      </c>
      <c r="G41" s="160">
        <f t="shared" si="6"/>
        <v>-56791.818082833764</v>
      </c>
      <c r="H41" s="160">
        <f t="shared" si="6"/>
        <v>-65413.717502951149</v>
      </c>
      <c r="I41" s="160">
        <f t="shared" si="6"/>
        <v>-61906.417696245349</v>
      </c>
      <c r="J41" s="160">
        <f t="shared" si="6"/>
        <v>-59349.117889539564</v>
      </c>
      <c r="K41" s="160">
        <f t="shared" si="6"/>
        <v>-64463.717502951149</v>
      </c>
      <c r="L41" s="160">
        <f t="shared" si="6"/>
        <v>-59349.117889539564</v>
      </c>
      <c r="M41" s="160">
        <f t="shared" si="6"/>
        <v>-84390.510473027854</v>
      </c>
      <c r="N41" s="160">
        <f t="shared" si="6"/>
        <v>-743759.63018478639</v>
      </c>
    </row>
    <row r="42" spans="1:14" x14ac:dyDescent="0.25">
      <c r="A42" s="159" t="s">
        <v>29</v>
      </c>
      <c r="B42" s="160">
        <f t="shared" ref="B42:N42" si="7">B41+0+0</f>
        <v>-44584.141976127983</v>
      </c>
      <c r="C42" s="160">
        <f t="shared" si="7"/>
        <v>-59291.818082833764</v>
      </c>
      <c r="D42" s="160">
        <f t="shared" si="7"/>
        <v>-61849.117889539564</v>
      </c>
      <c r="E42" s="160">
        <f t="shared" si="7"/>
        <v>-61906.417696245349</v>
      </c>
      <c r="F42" s="160">
        <f t="shared" si="7"/>
        <v>-64463.717502951149</v>
      </c>
      <c r="G42" s="160">
        <f t="shared" si="7"/>
        <v>-56791.818082833764</v>
      </c>
      <c r="H42" s="160">
        <f t="shared" si="7"/>
        <v>-65413.717502951149</v>
      </c>
      <c r="I42" s="160">
        <f t="shared" si="7"/>
        <v>-61906.417696245349</v>
      </c>
      <c r="J42" s="160">
        <f t="shared" si="7"/>
        <v>-59349.117889539564</v>
      </c>
      <c r="K42" s="160">
        <f t="shared" si="7"/>
        <v>-64463.717502951149</v>
      </c>
      <c r="L42" s="160">
        <f t="shared" si="7"/>
        <v>-59349.117889539564</v>
      </c>
      <c r="M42" s="160">
        <f t="shared" si="7"/>
        <v>-84390.510473027854</v>
      </c>
      <c r="N42" s="160">
        <f t="shared" si="7"/>
        <v>-743759.63018478639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29D1-C9F6-3643-BC28-EDAD93160F6F}">
  <sheetPr codeName="Sheet34">
    <tabColor rgb="FFFFC000"/>
    <pageSetUpPr fitToPage="1"/>
  </sheetPr>
  <dimension ref="A1:O37"/>
  <sheetViews>
    <sheetView workbookViewId="0">
      <selection activeCell="R23" sqref="R23"/>
    </sheetView>
  </sheetViews>
  <sheetFormatPr defaultColWidth="7" defaultRowHeight="11.25" x14ac:dyDescent="0.2"/>
  <cols>
    <col min="1" max="1" width="49" style="203" bestFit="1" customWidth="1"/>
    <col min="2" max="13" width="8.125" style="203" customWidth="1"/>
    <col min="14" max="14" width="8.875" style="203" bestFit="1" customWidth="1"/>
    <col min="15" max="15" width="8.375" style="203" bestFit="1" customWidth="1"/>
    <col min="16" max="16384" width="7" style="203"/>
  </cols>
  <sheetData>
    <row r="1" spans="1:14" ht="15.75" x14ac:dyDescent="0.25">
      <c r="A1" s="377" t="s">
        <v>176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ht="18" x14ac:dyDescent="0.25">
      <c r="A2" s="378" t="s">
        <v>177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 ht="18" x14ac:dyDescent="0.25">
      <c r="A3" s="378" t="s">
        <v>178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8" x14ac:dyDescent="0.25">
      <c r="A4" s="378" t="s">
        <v>392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4" ht="18" x14ac:dyDescent="0.25">
      <c r="A5" s="378" t="s">
        <v>180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</row>
    <row r="6" spans="1:14" x14ac:dyDescent="0.2">
      <c r="A6" s="204" t="s">
        <v>181</v>
      </c>
      <c r="B6" s="205">
        <v>45292</v>
      </c>
      <c r="C6" s="205">
        <v>45323</v>
      </c>
      <c r="D6" s="205">
        <v>45352</v>
      </c>
      <c r="E6" s="205">
        <v>45383</v>
      </c>
      <c r="F6" s="205">
        <v>45413</v>
      </c>
      <c r="G6" s="205">
        <v>45444</v>
      </c>
      <c r="H6" s="205">
        <v>45474</v>
      </c>
      <c r="I6" s="205">
        <v>45505</v>
      </c>
      <c r="J6" s="205">
        <v>45536</v>
      </c>
      <c r="K6" s="205">
        <v>45566</v>
      </c>
      <c r="L6" s="205">
        <v>45597</v>
      </c>
      <c r="M6" s="205">
        <v>45627</v>
      </c>
      <c r="N6" s="182" t="s">
        <v>182</v>
      </c>
    </row>
    <row r="7" spans="1:14" x14ac:dyDescent="0.2">
      <c r="A7" s="204" t="s">
        <v>184</v>
      </c>
      <c r="B7" s="206" t="s">
        <v>185</v>
      </c>
      <c r="C7" s="206" t="s">
        <v>185</v>
      </c>
      <c r="D7" s="206" t="s">
        <v>185</v>
      </c>
      <c r="E7" s="206" t="s">
        <v>185</v>
      </c>
      <c r="F7" s="206" t="s">
        <v>185</v>
      </c>
      <c r="G7" s="206" t="s">
        <v>185</v>
      </c>
      <c r="H7" s="206" t="s">
        <v>185</v>
      </c>
      <c r="I7" s="206" t="s">
        <v>185</v>
      </c>
      <c r="J7" s="206" t="s">
        <v>185</v>
      </c>
      <c r="K7" s="206" t="s">
        <v>185</v>
      </c>
      <c r="L7" s="206" t="s">
        <v>185</v>
      </c>
      <c r="M7" s="206" t="s">
        <v>185</v>
      </c>
      <c r="N7" s="182" t="s">
        <v>16</v>
      </c>
    </row>
    <row r="8" spans="1:14" x14ac:dyDescent="0.2">
      <c r="A8" s="207" t="s">
        <v>187</v>
      </c>
      <c r="B8" s="208">
        <f t="shared" ref="B8:N8" si="0">0-0</f>
        <v>0</v>
      </c>
      <c r="C8" s="208">
        <f t="shared" si="0"/>
        <v>0</v>
      </c>
      <c r="D8" s="208">
        <f t="shared" si="0"/>
        <v>0</v>
      </c>
      <c r="E8" s="208">
        <f t="shared" si="0"/>
        <v>0</v>
      </c>
      <c r="F8" s="208">
        <f t="shared" si="0"/>
        <v>0</v>
      </c>
      <c r="G8" s="208">
        <f t="shared" si="0"/>
        <v>0</v>
      </c>
      <c r="H8" s="208">
        <f t="shared" si="0"/>
        <v>0</v>
      </c>
      <c r="I8" s="208">
        <f t="shared" si="0"/>
        <v>0</v>
      </c>
      <c r="J8" s="208">
        <f t="shared" si="0"/>
        <v>0</v>
      </c>
      <c r="K8" s="208">
        <f t="shared" si="0"/>
        <v>0</v>
      </c>
      <c r="L8" s="208">
        <f t="shared" si="0"/>
        <v>0</v>
      </c>
      <c r="M8" s="208">
        <f t="shared" si="0"/>
        <v>0</v>
      </c>
      <c r="N8" s="208">
        <f t="shared" si="0"/>
        <v>0</v>
      </c>
    </row>
    <row r="9" spans="1:14" x14ac:dyDescent="0.2">
      <c r="A9" s="209" t="s">
        <v>188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</row>
    <row r="10" spans="1:14" x14ac:dyDescent="0.2">
      <c r="A10" s="211" t="s">
        <v>189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</row>
    <row r="11" spans="1:14" x14ac:dyDescent="0.2">
      <c r="A11" s="212" t="s">
        <v>393</v>
      </c>
      <c r="B11" s="213">
        <f>30000/12</f>
        <v>2500</v>
      </c>
      <c r="C11" s="213">
        <f t="shared" ref="C11:M11" si="1">30000/12</f>
        <v>2500</v>
      </c>
      <c r="D11" s="213">
        <f t="shared" si="1"/>
        <v>2500</v>
      </c>
      <c r="E11" s="213">
        <f t="shared" si="1"/>
        <v>2500</v>
      </c>
      <c r="F11" s="213">
        <f t="shared" si="1"/>
        <v>2500</v>
      </c>
      <c r="G11" s="213">
        <f t="shared" si="1"/>
        <v>2500</v>
      </c>
      <c r="H11" s="213">
        <f t="shared" si="1"/>
        <v>2500</v>
      </c>
      <c r="I11" s="213">
        <f t="shared" si="1"/>
        <v>2500</v>
      </c>
      <c r="J11" s="213">
        <f t="shared" si="1"/>
        <v>2500</v>
      </c>
      <c r="K11" s="213">
        <f t="shared" si="1"/>
        <v>2500</v>
      </c>
      <c r="L11" s="213">
        <f t="shared" si="1"/>
        <v>2500</v>
      </c>
      <c r="M11" s="213">
        <f t="shared" si="1"/>
        <v>2500</v>
      </c>
      <c r="N11" s="213">
        <f t="shared" ref="N11:N25" si="2">SUM(B11:M11)</f>
        <v>30000</v>
      </c>
    </row>
    <row r="12" spans="1:14" x14ac:dyDescent="0.2">
      <c r="A12" s="212" t="s">
        <v>24</v>
      </c>
      <c r="B12" s="213">
        <v>200</v>
      </c>
      <c r="C12" s="213">
        <v>200</v>
      </c>
      <c r="D12" s="213">
        <v>200</v>
      </c>
      <c r="E12" s="213">
        <v>200</v>
      </c>
      <c r="F12" s="213">
        <v>200</v>
      </c>
      <c r="G12" s="213">
        <v>200</v>
      </c>
      <c r="H12" s="213">
        <v>200</v>
      </c>
      <c r="I12" s="213">
        <v>200</v>
      </c>
      <c r="J12" s="213">
        <v>200</v>
      </c>
      <c r="K12" s="213">
        <v>200</v>
      </c>
      <c r="L12" s="213">
        <v>200</v>
      </c>
      <c r="M12" s="213">
        <v>200</v>
      </c>
      <c r="N12" s="213">
        <f t="shared" si="2"/>
        <v>2400</v>
      </c>
    </row>
    <row r="13" spans="1:14" x14ac:dyDescent="0.2">
      <c r="A13" s="212" t="s">
        <v>206</v>
      </c>
      <c r="B13" s="213">
        <v>35</v>
      </c>
      <c r="C13" s="213">
        <v>35</v>
      </c>
      <c r="D13" s="213">
        <v>35</v>
      </c>
      <c r="E13" s="213">
        <v>35</v>
      </c>
      <c r="F13" s="213">
        <v>35</v>
      </c>
      <c r="G13" s="213">
        <v>35</v>
      </c>
      <c r="H13" s="213">
        <v>35</v>
      </c>
      <c r="I13" s="213">
        <v>35</v>
      </c>
      <c r="J13" s="213">
        <v>35</v>
      </c>
      <c r="K13" s="213">
        <v>35</v>
      </c>
      <c r="L13" s="213">
        <v>35</v>
      </c>
      <c r="M13" s="213">
        <v>35</v>
      </c>
      <c r="N13" s="213">
        <f t="shared" si="2"/>
        <v>420</v>
      </c>
    </row>
    <row r="14" spans="1:14" x14ac:dyDescent="0.2">
      <c r="A14" s="212" t="s">
        <v>207</v>
      </c>
      <c r="B14" s="213">
        <v>150</v>
      </c>
      <c r="C14" s="213">
        <v>150</v>
      </c>
      <c r="D14" s="213">
        <v>150</v>
      </c>
      <c r="E14" s="213">
        <v>150</v>
      </c>
      <c r="F14" s="213">
        <v>150</v>
      </c>
      <c r="G14" s="213">
        <v>150</v>
      </c>
      <c r="H14" s="213">
        <v>150</v>
      </c>
      <c r="I14" s="213">
        <v>150</v>
      </c>
      <c r="J14" s="213">
        <v>150</v>
      </c>
      <c r="K14" s="213">
        <v>150</v>
      </c>
      <c r="L14" s="213">
        <v>150</v>
      </c>
      <c r="M14" s="213">
        <v>150</v>
      </c>
      <c r="N14" s="213">
        <f t="shared" si="2"/>
        <v>1800</v>
      </c>
    </row>
    <row r="15" spans="1:14" x14ac:dyDescent="0.2">
      <c r="A15" s="212" t="s">
        <v>317</v>
      </c>
      <c r="B15" s="213">
        <v>4556.8</v>
      </c>
      <c r="C15" s="213">
        <v>4556.8</v>
      </c>
      <c r="D15" s="213">
        <v>4556.8</v>
      </c>
      <c r="E15" s="213">
        <v>4556.8</v>
      </c>
      <c r="F15" s="213">
        <v>4800</v>
      </c>
      <c r="G15" s="213">
        <v>4800</v>
      </c>
      <c r="H15" s="213">
        <v>4800</v>
      </c>
      <c r="I15" s="213">
        <v>4800</v>
      </c>
      <c r="J15" s="213">
        <v>4800</v>
      </c>
      <c r="K15" s="213">
        <v>4800</v>
      </c>
      <c r="L15" s="213">
        <v>4800</v>
      </c>
      <c r="M15" s="213">
        <v>4800</v>
      </c>
      <c r="N15" s="213">
        <f t="shared" si="2"/>
        <v>56627.199999999997</v>
      </c>
    </row>
    <row r="16" spans="1:14" x14ac:dyDescent="0.2">
      <c r="A16" s="212" t="s">
        <v>208</v>
      </c>
      <c r="B16" s="213">
        <v>75</v>
      </c>
      <c r="C16" s="213">
        <v>75</v>
      </c>
      <c r="D16" s="213">
        <v>75</v>
      </c>
      <c r="E16" s="213">
        <v>75</v>
      </c>
      <c r="F16" s="213">
        <v>75</v>
      </c>
      <c r="G16" s="213">
        <v>75</v>
      </c>
      <c r="H16" s="213">
        <v>75</v>
      </c>
      <c r="I16" s="213">
        <v>75</v>
      </c>
      <c r="J16" s="213">
        <v>75</v>
      </c>
      <c r="K16" s="213">
        <v>75</v>
      </c>
      <c r="L16" s="213">
        <v>75</v>
      </c>
      <c r="M16" s="213">
        <v>75</v>
      </c>
      <c r="N16" s="213">
        <f t="shared" si="2"/>
        <v>900</v>
      </c>
    </row>
    <row r="17" spans="1:15" x14ac:dyDescent="0.2">
      <c r="A17" s="212" t="s">
        <v>257</v>
      </c>
      <c r="B17" s="213">
        <v>80</v>
      </c>
      <c r="C17" s="213">
        <v>80</v>
      </c>
      <c r="D17" s="213">
        <v>80</v>
      </c>
      <c r="E17" s="213">
        <v>80</v>
      </c>
      <c r="F17" s="213">
        <v>80</v>
      </c>
      <c r="G17" s="213">
        <v>80</v>
      </c>
      <c r="H17" s="213">
        <v>80</v>
      </c>
      <c r="I17" s="213">
        <v>80</v>
      </c>
      <c r="J17" s="213">
        <v>80</v>
      </c>
      <c r="K17" s="213">
        <v>80</v>
      </c>
      <c r="L17" s="213">
        <v>80</v>
      </c>
      <c r="M17" s="213">
        <v>80</v>
      </c>
      <c r="N17" s="213">
        <f t="shared" si="2"/>
        <v>960</v>
      </c>
    </row>
    <row r="18" spans="1:15" x14ac:dyDescent="0.2">
      <c r="A18" s="212" t="s">
        <v>329</v>
      </c>
      <c r="B18" s="213">
        <v>16.670000000000002</v>
      </c>
      <c r="C18" s="213">
        <v>16.670000000000002</v>
      </c>
      <c r="D18" s="213">
        <v>16.670000000000002</v>
      </c>
      <c r="E18" s="213">
        <v>16.670000000000002</v>
      </c>
      <c r="F18" s="213">
        <v>16.670000000000002</v>
      </c>
      <c r="G18" s="213">
        <v>16.670000000000002</v>
      </c>
      <c r="H18" s="213">
        <v>16.670000000000002</v>
      </c>
      <c r="I18" s="213">
        <v>16.670000000000002</v>
      </c>
      <c r="J18" s="213">
        <v>16.670000000000002</v>
      </c>
      <c r="K18" s="213">
        <v>16.670000000000002</v>
      </c>
      <c r="L18" s="213">
        <v>16.670000000000002</v>
      </c>
      <c r="M18" s="213">
        <v>16.63</v>
      </c>
      <c r="N18" s="213">
        <f t="shared" si="2"/>
        <v>200.00000000000006</v>
      </c>
    </row>
    <row r="19" spans="1:15" x14ac:dyDescent="0.2">
      <c r="A19" s="212" t="s">
        <v>351</v>
      </c>
      <c r="B19" s="213">
        <v>37.5</v>
      </c>
      <c r="C19" s="213">
        <v>37.5</v>
      </c>
      <c r="D19" s="213">
        <v>37.5</v>
      </c>
      <c r="E19" s="213">
        <v>37.5</v>
      </c>
      <c r="F19" s="213">
        <v>37.5</v>
      </c>
      <c r="G19" s="213">
        <v>37.5</v>
      </c>
      <c r="H19" s="213">
        <v>37.5</v>
      </c>
      <c r="I19" s="213">
        <v>37.5</v>
      </c>
      <c r="J19" s="213">
        <v>37.5</v>
      </c>
      <c r="K19" s="213">
        <v>37.5</v>
      </c>
      <c r="L19" s="213">
        <v>37.5</v>
      </c>
      <c r="M19" s="213">
        <v>37.5</v>
      </c>
      <c r="N19" s="213">
        <f t="shared" si="2"/>
        <v>450</v>
      </c>
    </row>
    <row r="20" spans="1:15" x14ac:dyDescent="0.2">
      <c r="A20" s="212" t="s">
        <v>260</v>
      </c>
      <c r="B20" s="213">
        <v>205</v>
      </c>
      <c r="C20" s="213">
        <v>205</v>
      </c>
      <c r="D20" s="213">
        <v>205</v>
      </c>
      <c r="E20" s="213">
        <v>205</v>
      </c>
      <c r="F20" s="213">
        <v>205</v>
      </c>
      <c r="G20" s="213">
        <v>205</v>
      </c>
      <c r="H20" s="213">
        <v>205</v>
      </c>
      <c r="I20" s="213">
        <v>205</v>
      </c>
      <c r="J20" s="213">
        <v>205</v>
      </c>
      <c r="K20" s="213">
        <v>205</v>
      </c>
      <c r="L20" s="213">
        <v>205</v>
      </c>
      <c r="M20" s="213">
        <v>205</v>
      </c>
      <c r="N20" s="213">
        <f t="shared" si="2"/>
        <v>2460</v>
      </c>
    </row>
    <row r="21" spans="1:15" x14ac:dyDescent="0.2">
      <c r="A21" s="212" t="s">
        <v>262</v>
      </c>
      <c r="B21" s="213">
        <v>560</v>
      </c>
      <c r="C21" s="213">
        <v>0</v>
      </c>
      <c r="D21" s="213">
        <v>0</v>
      </c>
      <c r="E21" s="213">
        <v>0</v>
      </c>
      <c r="F21" s="213">
        <v>0</v>
      </c>
      <c r="G21" s="213">
        <v>440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f t="shared" si="2"/>
        <v>1000</v>
      </c>
    </row>
    <row r="22" spans="1:15" x14ac:dyDescent="0.2">
      <c r="A22" s="164" t="s">
        <v>263</v>
      </c>
      <c r="B22" s="213">
        <v>100</v>
      </c>
      <c r="C22" s="213">
        <v>100</v>
      </c>
      <c r="D22" s="213">
        <v>100</v>
      </c>
      <c r="E22" s="213">
        <v>100</v>
      </c>
      <c r="F22" s="213">
        <v>100</v>
      </c>
      <c r="G22" s="213">
        <v>100</v>
      </c>
      <c r="H22" s="213">
        <v>100</v>
      </c>
      <c r="I22" s="213">
        <v>100</v>
      </c>
      <c r="J22" s="213">
        <v>100</v>
      </c>
      <c r="K22" s="213">
        <v>100</v>
      </c>
      <c r="L22" s="213">
        <v>100</v>
      </c>
      <c r="M22" s="213">
        <v>100</v>
      </c>
      <c r="N22" s="213">
        <f t="shared" si="2"/>
        <v>1200</v>
      </c>
    </row>
    <row r="23" spans="1:15" x14ac:dyDescent="0.2">
      <c r="A23" s="212" t="s">
        <v>265</v>
      </c>
      <c r="B23" s="213">
        <v>170</v>
      </c>
      <c r="C23" s="213">
        <v>170</v>
      </c>
      <c r="D23" s="213">
        <v>170</v>
      </c>
      <c r="E23" s="213">
        <v>170</v>
      </c>
      <c r="F23" s="213">
        <v>170</v>
      </c>
      <c r="G23" s="213">
        <v>170</v>
      </c>
      <c r="H23" s="213">
        <v>170</v>
      </c>
      <c r="I23" s="213">
        <v>170</v>
      </c>
      <c r="J23" s="213">
        <v>170</v>
      </c>
      <c r="K23" s="213">
        <v>170</v>
      </c>
      <c r="L23" s="213">
        <v>170</v>
      </c>
      <c r="M23" s="213">
        <v>170</v>
      </c>
      <c r="N23" s="213">
        <f t="shared" si="2"/>
        <v>2040</v>
      </c>
    </row>
    <row r="24" spans="1:15" x14ac:dyDescent="0.2">
      <c r="A24" s="212" t="s">
        <v>267</v>
      </c>
      <c r="B24" s="213">
        <v>0</v>
      </c>
      <c r="C24" s="213">
        <v>0</v>
      </c>
      <c r="D24" s="213">
        <v>0</v>
      </c>
      <c r="E24" s="213">
        <v>0</v>
      </c>
      <c r="F24" s="213">
        <v>100</v>
      </c>
      <c r="G24" s="213">
        <v>1400</v>
      </c>
      <c r="H24" s="213">
        <v>0</v>
      </c>
      <c r="I24" s="213">
        <v>0</v>
      </c>
      <c r="J24" s="213">
        <v>700</v>
      </c>
      <c r="K24" s="213">
        <v>0</v>
      </c>
      <c r="L24" s="213">
        <v>0</v>
      </c>
      <c r="M24" s="213">
        <v>0</v>
      </c>
      <c r="N24" s="213">
        <f t="shared" si="2"/>
        <v>2200</v>
      </c>
    </row>
    <row r="25" spans="1:15" x14ac:dyDescent="0.2">
      <c r="A25" s="212" t="s">
        <v>268</v>
      </c>
      <c r="B25" s="165">
        <v>181.03</v>
      </c>
      <c r="C25" s="165">
        <v>181.03</v>
      </c>
      <c r="D25" s="165">
        <v>181.03</v>
      </c>
      <c r="E25" s="165">
        <v>181.03</v>
      </c>
      <c r="F25" s="165">
        <v>181.03</v>
      </c>
      <c r="G25" s="165">
        <v>181.03</v>
      </c>
      <c r="H25" s="165">
        <v>181.03</v>
      </c>
      <c r="I25" s="165">
        <v>181.03</v>
      </c>
      <c r="J25" s="165">
        <v>181.03</v>
      </c>
      <c r="K25" s="165">
        <v>181.03</v>
      </c>
      <c r="L25" s="165">
        <v>181.03</v>
      </c>
      <c r="M25" s="165">
        <v>181.03</v>
      </c>
      <c r="N25" s="213">
        <f t="shared" si="2"/>
        <v>2172.36</v>
      </c>
    </row>
    <row r="26" spans="1:15" x14ac:dyDescent="0.2">
      <c r="A26" s="214" t="s">
        <v>190</v>
      </c>
      <c r="B26" s="215">
        <f t="shared" ref="B26:N26" si="3">SUM(B11:B25)</f>
        <v>8867.0000000000018</v>
      </c>
      <c r="C26" s="215">
        <f t="shared" si="3"/>
        <v>8307</v>
      </c>
      <c r="D26" s="215">
        <f t="shared" si="3"/>
        <v>8307</v>
      </c>
      <c r="E26" s="215">
        <f t="shared" si="3"/>
        <v>8307</v>
      </c>
      <c r="F26" s="215">
        <f t="shared" si="3"/>
        <v>8650.2000000000007</v>
      </c>
      <c r="G26" s="215">
        <f t="shared" si="3"/>
        <v>10390.200000000001</v>
      </c>
      <c r="H26" s="215">
        <f t="shared" si="3"/>
        <v>8550.2000000000007</v>
      </c>
      <c r="I26" s="215">
        <f t="shared" si="3"/>
        <v>8550.2000000000007</v>
      </c>
      <c r="J26" s="215">
        <f t="shared" si="3"/>
        <v>9250.2000000000007</v>
      </c>
      <c r="K26" s="215">
        <f t="shared" si="3"/>
        <v>8550.2000000000007</v>
      </c>
      <c r="L26" s="215">
        <f t="shared" si="3"/>
        <v>8550.2000000000007</v>
      </c>
      <c r="M26" s="215">
        <f t="shared" si="3"/>
        <v>8550.1600000000017</v>
      </c>
      <c r="N26" s="215">
        <f t="shared" si="3"/>
        <v>104829.56</v>
      </c>
    </row>
    <row r="27" spans="1:15" x14ac:dyDescent="0.2">
      <c r="A27" s="211" t="s">
        <v>216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</row>
    <row r="28" spans="1:15" x14ac:dyDescent="0.2">
      <c r="A28" s="212" t="s">
        <v>217</v>
      </c>
      <c r="B28" s="213">
        <v>26407.627840758752</v>
      </c>
      <c r="C28" s="213">
        <v>27797.502990272373</v>
      </c>
      <c r="D28" s="213">
        <v>29187.378139785989</v>
      </c>
      <c r="E28" s="213">
        <v>30577.25328929961</v>
      </c>
      <c r="F28" s="213">
        <v>31967.128438813226</v>
      </c>
      <c r="G28" s="213">
        <v>27797.502990272373</v>
      </c>
      <c r="H28" s="213">
        <v>31967.128438813226</v>
      </c>
      <c r="I28" s="213">
        <v>30577.25328929961</v>
      </c>
      <c r="J28" s="213">
        <v>29187.378139785989</v>
      </c>
      <c r="K28" s="213">
        <v>31967.128438813226</v>
      </c>
      <c r="L28" s="213">
        <v>29187.378139785989</v>
      </c>
      <c r="M28" s="213">
        <v>37907.96223929961</v>
      </c>
      <c r="N28" s="213">
        <f t="shared" ref="N28:N33" si="4">SUM(B28:M28)</f>
        <v>364528.62237499998</v>
      </c>
      <c r="O28" s="222"/>
    </row>
    <row r="29" spans="1:15" x14ac:dyDescent="0.2">
      <c r="A29" s="212" t="s">
        <v>218</v>
      </c>
      <c r="B29" s="213">
        <v>5449.1005148589702</v>
      </c>
      <c r="C29" s="213">
        <v>5735.8952787989156</v>
      </c>
      <c r="D29" s="213">
        <v>6022.6900427388618</v>
      </c>
      <c r="E29" s="213">
        <v>6309.4848066788072</v>
      </c>
      <c r="F29" s="213">
        <v>6596.2795706187535</v>
      </c>
      <c r="G29" s="213">
        <v>5735.8952787989156</v>
      </c>
      <c r="H29" s="213">
        <v>6596.2795706187535</v>
      </c>
      <c r="I29" s="213">
        <v>6309.4848066788072</v>
      </c>
      <c r="J29" s="213">
        <v>6022.6900427388618</v>
      </c>
      <c r="K29" s="213">
        <v>6596.2795706187535</v>
      </c>
      <c r="L29" s="213">
        <v>6022.6900427388618</v>
      </c>
      <c r="M29" s="213">
        <v>7519.0517834288075</v>
      </c>
      <c r="N29" s="213">
        <f t="shared" si="4"/>
        <v>74915.821309316074</v>
      </c>
    </row>
    <row r="30" spans="1:15" x14ac:dyDescent="0.2">
      <c r="A30" s="212" t="s">
        <v>219</v>
      </c>
      <c r="B30" s="213">
        <v>279.81867508735246</v>
      </c>
      <c r="C30" s="213">
        <v>294.54597377616051</v>
      </c>
      <c r="D30" s="213">
        <v>309.2732724649685</v>
      </c>
      <c r="E30" s="213">
        <v>324.00057115377655</v>
      </c>
      <c r="F30" s="213">
        <v>338.7278698425846</v>
      </c>
      <c r="G30" s="213">
        <v>294.54597377616051</v>
      </c>
      <c r="H30" s="213">
        <v>338.7278698425846</v>
      </c>
      <c r="I30" s="213">
        <v>324.00057115377655</v>
      </c>
      <c r="J30" s="213">
        <v>309.2732724649685</v>
      </c>
      <c r="K30" s="213">
        <v>338.7278698425846</v>
      </c>
      <c r="L30" s="213">
        <v>309.2732724649685</v>
      </c>
      <c r="M30" s="213">
        <v>324.00057115377655</v>
      </c>
      <c r="N30" s="213">
        <f t="shared" si="4"/>
        <v>3784.9157630236627</v>
      </c>
    </row>
    <row r="31" spans="1:15" x14ac:dyDescent="0.2">
      <c r="A31" s="212" t="s">
        <v>220</v>
      </c>
      <c r="B31" s="213">
        <v>3673.7068408383302</v>
      </c>
      <c r="C31" s="213">
        <v>2512.3987798298213</v>
      </c>
      <c r="D31" s="213">
        <v>2638.0187188213122</v>
      </c>
      <c r="E31" s="213">
        <v>2763.6386578128031</v>
      </c>
      <c r="F31" s="213">
        <v>2889.2585968042945</v>
      </c>
      <c r="G31" s="213">
        <v>2512.3987798298213</v>
      </c>
      <c r="H31" s="213">
        <v>2889.2585968042945</v>
      </c>
      <c r="I31" s="213">
        <v>2763.6386578128031</v>
      </c>
      <c r="J31" s="213">
        <v>2638.0187188213122</v>
      </c>
      <c r="K31" s="213">
        <v>2889.2585968042945</v>
      </c>
      <c r="L31" s="213">
        <v>2638.0187188213122</v>
      </c>
      <c r="M31" s="213">
        <v>2763.6386578128031</v>
      </c>
      <c r="N31" s="213">
        <f t="shared" si="4"/>
        <v>33571.252320813204</v>
      </c>
    </row>
    <row r="32" spans="1:15" x14ac:dyDescent="0.2">
      <c r="A32" s="212" t="s">
        <v>221</v>
      </c>
      <c r="B32" s="213">
        <v>1410.6295960189686</v>
      </c>
      <c r="C32" s="213">
        <v>694.93757475680923</v>
      </c>
      <c r="D32" s="213">
        <v>729.68445349464969</v>
      </c>
      <c r="E32" s="213">
        <v>764.43133223249015</v>
      </c>
      <c r="F32" s="213">
        <v>799.17821097033061</v>
      </c>
      <c r="G32" s="213">
        <v>694.93757475680923</v>
      </c>
      <c r="H32" s="213">
        <v>799.17821097033061</v>
      </c>
      <c r="I32" s="213">
        <v>764.43133223249015</v>
      </c>
      <c r="J32" s="213">
        <v>729.68445349464969</v>
      </c>
      <c r="K32" s="213">
        <v>799.17821097033061</v>
      </c>
      <c r="L32" s="213">
        <v>729.68445349464969</v>
      </c>
      <c r="M32" s="213">
        <v>764.43133223249015</v>
      </c>
      <c r="N32" s="213">
        <f t="shared" si="4"/>
        <v>9680.3867356249993</v>
      </c>
    </row>
    <row r="33" spans="1:14" x14ac:dyDescent="0.2">
      <c r="A33" s="212" t="s">
        <v>233</v>
      </c>
      <c r="B33" s="213">
        <v>263.20874999999978</v>
      </c>
      <c r="C33" s="213">
        <v>263.20874999999978</v>
      </c>
      <c r="D33" s="213">
        <v>263.20874999999978</v>
      </c>
      <c r="E33" s="213">
        <v>263.20874999999978</v>
      </c>
      <c r="F33" s="213">
        <v>263.20874999999978</v>
      </c>
      <c r="G33" s="213">
        <v>263.20874999999978</v>
      </c>
      <c r="H33" s="213">
        <v>263.20874999999978</v>
      </c>
      <c r="I33" s="213">
        <v>263.20874999999978</v>
      </c>
      <c r="J33" s="213">
        <v>263.20874999999978</v>
      </c>
      <c r="K33" s="213">
        <v>263.20874999999978</v>
      </c>
      <c r="L33" s="213">
        <v>263.20874999999978</v>
      </c>
      <c r="M33" s="213">
        <v>263.20874999999978</v>
      </c>
      <c r="N33" s="213">
        <f t="shared" si="4"/>
        <v>3158.5049999999974</v>
      </c>
    </row>
    <row r="34" spans="1:14" x14ac:dyDescent="0.2">
      <c r="A34" s="214" t="s">
        <v>222</v>
      </c>
      <c r="B34" s="215">
        <f t="shared" ref="B34:N34" si="5">SUM(B28:B33)</f>
        <v>37484.092217562371</v>
      </c>
      <c r="C34" s="215">
        <f t="shared" si="5"/>
        <v>37298.489347434079</v>
      </c>
      <c r="D34" s="215">
        <f t="shared" si="5"/>
        <v>39150.25337730578</v>
      </c>
      <c r="E34" s="215">
        <f t="shared" si="5"/>
        <v>41002.017407177482</v>
      </c>
      <c r="F34" s="215">
        <f t="shared" si="5"/>
        <v>42853.781437049183</v>
      </c>
      <c r="G34" s="215">
        <f t="shared" si="5"/>
        <v>37298.489347434079</v>
      </c>
      <c r="H34" s="215">
        <f t="shared" si="5"/>
        <v>42853.781437049183</v>
      </c>
      <c r="I34" s="215">
        <f t="shared" si="5"/>
        <v>41002.017407177482</v>
      </c>
      <c r="J34" s="215">
        <f t="shared" si="5"/>
        <v>39150.25337730578</v>
      </c>
      <c r="K34" s="215">
        <f t="shared" si="5"/>
        <v>42853.781437049183</v>
      </c>
      <c r="L34" s="215">
        <f t="shared" si="5"/>
        <v>39150.25337730578</v>
      </c>
      <c r="M34" s="215">
        <f t="shared" si="5"/>
        <v>49542.293333927475</v>
      </c>
      <c r="N34" s="215">
        <f t="shared" si="5"/>
        <v>489639.5035037779</v>
      </c>
    </row>
    <row r="35" spans="1:14" x14ac:dyDescent="0.2">
      <c r="A35" s="216" t="s">
        <v>191</v>
      </c>
      <c r="B35" s="215">
        <f t="shared" ref="B35:N35" si="6">SUM(B26,B34)</f>
        <v>46351.092217562371</v>
      </c>
      <c r="C35" s="215">
        <f t="shared" si="6"/>
        <v>45605.489347434079</v>
      </c>
      <c r="D35" s="215">
        <f t="shared" si="6"/>
        <v>47457.25337730578</v>
      </c>
      <c r="E35" s="215">
        <f t="shared" si="6"/>
        <v>49309.017407177482</v>
      </c>
      <c r="F35" s="215">
        <f t="shared" si="6"/>
        <v>51503.98143704918</v>
      </c>
      <c r="G35" s="215">
        <f t="shared" si="6"/>
        <v>47688.689347434076</v>
      </c>
      <c r="H35" s="215">
        <f t="shared" si="6"/>
        <v>51403.98143704918</v>
      </c>
      <c r="I35" s="215">
        <f t="shared" si="6"/>
        <v>49552.217407177479</v>
      </c>
      <c r="J35" s="215">
        <f t="shared" si="6"/>
        <v>48400.453377305777</v>
      </c>
      <c r="K35" s="215">
        <f t="shared" si="6"/>
        <v>51403.98143704918</v>
      </c>
      <c r="L35" s="215">
        <f t="shared" si="6"/>
        <v>47700.453377305777</v>
      </c>
      <c r="M35" s="215">
        <f t="shared" si="6"/>
        <v>58092.453333927479</v>
      </c>
      <c r="N35" s="215">
        <f t="shared" si="6"/>
        <v>594469.06350377784</v>
      </c>
    </row>
    <row r="36" spans="1:14" x14ac:dyDescent="0.2">
      <c r="A36" s="207" t="s">
        <v>192</v>
      </c>
      <c r="B36" s="208">
        <f t="shared" ref="B36:N36" si="7">B8-B35</f>
        <v>-46351.092217562371</v>
      </c>
      <c r="C36" s="208">
        <f t="shared" si="7"/>
        <v>-45605.489347434079</v>
      </c>
      <c r="D36" s="208">
        <f t="shared" si="7"/>
        <v>-47457.25337730578</v>
      </c>
      <c r="E36" s="208">
        <f t="shared" si="7"/>
        <v>-49309.017407177482</v>
      </c>
      <c r="F36" s="208">
        <f t="shared" si="7"/>
        <v>-51503.98143704918</v>
      </c>
      <c r="G36" s="208">
        <f t="shared" si="7"/>
        <v>-47688.689347434076</v>
      </c>
      <c r="H36" s="208">
        <f t="shared" si="7"/>
        <v>-51403.98143704918</v>
      </c>
      <c r="I36" s="208">
        <f t="shared" si="7"/>
        <v>-49552.217407177479</v>
      </c>
      <c r="J36" s="208">
        <f t="shared" si="7"/>
        <v>-48400.453377305777</v>
      </c>
      <c r="K36" s="208">
        <f t="shared" si="7"/>
        <v>-51403.98143704918</v>
      </c>
      <c r="L36" s="208">
        <f t="shared" si="7"/>
        <v>-47700.453377305777</v>
      </c>
      <c r="M36" s="208">
        <f t="shared" si="7"/>
        <v>-58092.453333927479</v>
      </c>
      <c r="N36" s="208">
        <f t="shared" si="7"/>
        <v>-594469.06350377784</v>
      </c>
    </row>
    <row r="37" spans="1:14" x14ac:dyDescent="0.2">
      <c r="A37" s="207" t="s">
        <v>29</v>
      </c>
      <c r="B37" s="208">
        <f t="shared" ref="B37:N37" si="8">B36+0+0</f>
        <v>-46351.092217562371</v>
      </c>
      <c r="C37" s="208">
        <f t="shared" si="8"/>
        <v>-45605.489347434079</v>
      </c>
      <c r="D37" s="208">
        <f t="shared" si="8"/>
        <v>-47457.25337730578</v>
      </c>
      <c r="E37" s="208">
        <f t="shared" si="8"/>
        <v>-49309.017407177482</v>
      </c>
      <c r="F37" s="208">
        <f t="shared" si="8"/>
        <v>-51503.98143704918</v>
      </c>
      <c r="G37" s="208">
        <f t="shared" si="8"/>
        <v>-47688.689347434076</v>
      </c>
      <c r="H37" s="208">
        <f t="shared" si="8"/>
        <v>-51403.98143704918</v>
      </c>
      <c r="I37" s="208">
        <f t="shared" si="8"/>
        <v>-49552.217407177479</v>
      </c>
      <c r="J37" s="208">
        <f t="shared" si="8"/>
        <v>-48400.453377305777</v>
      </c>
      <c r="K37" s="208">
        <f t="shared" si="8"/>
        <v>-51403.98143704918</v>
      </c>
      <c r="L37" s="208">
        <f t="shared" si="8"/>
        <v>-47700.453377305777</v>
      </c>
      <c r="M37" s="208">
        <f t="shared" si="8"/>
        <v>-58092.453333927479</v>
      </c>
      <c r="N37" s="208">
        <f t="shared" si="8"/>
        <v>-594469.06350377784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0ACD-196C-224A-9111-0432E72BA6E7}">
  <sheetPr codeName="Sheet35">
    <tabColor rgb="FFFFC000"/>
    <pageSetUpPr fitToPage="1"/>
  </sheetPr>
  <dimension ref="A1:N33"/>
  <sheetViews>
    <sheetView topLeftCell="A3" workbookViewId="0">
      <selection activeCell="O32" sqref="O32"/>
    </sheetView>
  </sheetViews>
  <sheetFormatPr defaultColWidth="8.875" defaultRowHeight="15.75" x14ac:dyDescent="0.25"/>
  <cols>
    <col min="1" max="1" width="49" bestFit="1" customWidth="1"/>
    <col min="2" max="13" width="8.125" customWidth="1"/>
    <col min="14" max="14" width="8.875" bestFit="1" customWidth="1"/>
  </cols>
  <sheetData>
    <row r="1" spans="1:14" x14ac:dyDescent="0.25">
      <c r="A1" s="371" t="s">
        <v>176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8" x14ac:dyDescent="0.25">
      <c r="A2" s="372" t="s">
        <v>177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8" x14ac:dyDescent="0.25">
      <c r="A3" s="372" t="s">
        <v>178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8" x14ac:dyDescent="0.25">
      <c r="A4" s="372" t="s">
        <v>394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4" ht="18" x14ac:dyDescent="0.25">
      <c r="A5" s="372" t="s">
        <v>180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4" x14ac:dyDescent="0.25">
      <c r="A6" s="172" t="s">
        <v>181</v>
      </c>
      <c r="B6" s="181">
        <v>45292</v>
      </c>
      <c r="C6" s="181">
        <v>45323</v>
      </c>
      <c r="D6" s="181">
        <v>45352</v>
      </c>
      <c r="E6" s="181">
        <v>45383</v>
      </c>
      <c r="F6" s="181">
        <v>45413</v>
      </c>
      <c r="G6" s="181">
        <v>45444</v>
      </c>
      <c r="H6" s="181">
        <v>45474</v>
      </c>
      <c r="I6" s="181">
        <v>45505</v>
      </c>
      <c r="J6" s="181">
        <v>45536</v>
      </c>
      <c r="K6" s="181">
        <v>45566</v>
      </c>
      <c r="L6" s="181">
        <v>45597</v>
      </c>
      <c r="M6" s="181">
        <v>45627</v>
      </c>
      <c r="N6" s="182" t="s">
        <v>182</v>
      </c>
    </row>
    <row r="7" spans="1:14" x14ac:dyDescent="0.25">
      <c r="A7" s="172" t="s">
        <v>184</v>
      </c>
      <c r="B7" s="182" t="s">
        <v>185</v>
      </c>
      <c r="C7" s="182" t="s">
        <v>185</v>
      </c>
      <c r="D7" s="182" t="s">
        <v>185</v>
      </c>
      <c r="E7" s="182" t="s">
        <v>185</v>
      </c>
      <c r="F7" s="182" t="s">
        <v>185</v>
      </c>
      <c r="G7" s="182" t="s">
        <v>185</v>
      </c>
      <c r="H7" s="182" t="s">
        <v>185</v>
      </c>
      <c r="I7" s="182" t="s">
        <v>185</v>
      </c>
      <c r="J7" s="182" t="s">
        <v>185</v>
      </c>
      <c r="K7" s="182" t="s">
        <v>185</v>
      </c>
      <c r="L7" s="182" t="s">
        <v>185</v>
      </c>
      <c r="M7" s="182" t="s">
        <v>185</v>
      </c>
      <c r="N7" s="182" t="s">
        <v>16</v>
      </c>
    </row>
    <row r="8" spans="1:14" x14ac:dyDescent="0.25">
      <c r="A8" s="159" t="s">
        <v>187</v>
      </c>
      <c r="B8" s="160">
        <f t="shared" ref="B8:N8" si="0">0-0</f>
        <v>0</v>
      </c>
      <c r="C8" s="160">
        <f t="shared" si="0"/>
        <v>0</v>
      </c>
      <c r="D8" s="160">
        <f t="shared" si="0"/>
        <v>0</v>
      </c>
      <c r="E8" s="160">
        <f t="shared" si="0"/>
        <v>0</v>
      </c>
      <c r="F8" s="160">
        <f t="shared" si="0"/>
        <v>0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0</v>
      </c>
      <c r="K8" s="160">
        <f t="shared" si="0"/>
        <v>0</v>
      </c>
      <c r="L8" s="160">
        <f t="shared" si="0"/>
        <v>0</v>
      </c>
      <c r="M8" s="160">
        <f t="shared" si="0"/>
        <v>0</v>
      </c>
      <c r="N8" s="160">
        <f t="shared" si="0"/>
        <v>0</v>
      </c>
    </row>
    <row r="9" spans="1:14" x14ac:dyDescent="0.25">
      <c r="A9" s="161" t="s">
        <v>188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63" t="s">
        <v>189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164" t="s">
        <v>206</v>
      </c>
      <c r="B11" s="165">
        <v>10</v>
      </c>
      <c r="C11" s="165">
        <v>10</v>
      </c>
      <c r="D11" s="165">
        <v>10</v>
      </c>
      <c r="E11" s="165">
        <v>10</v>
      </c>
      <c r="F11" s="165">
        <v>10</v>
      </c>
      <c r="G11" s="165">
        <v>10</v>
      </c>
      <c r="H11" s="165">
        <v>10</v>
      </c>
      <c r="I11" s="165">
        <v>10</v>
      </c>
      <c r="J11" s="165">
        <v>10</v>
      </c>
      <c r="K11" s="165">
        <v>10</v>
      </c>
      <c r="L11" s="165">
        <v>10</v>
      </c>
      <c r="M11" s="165">
        <v>10</v>
      </c>
      <c r="N11" s="165">
        <f t="shared" ref="N11:N21" si="1">SUM(B11:M11)</f>
        <v>120</v>
      </c>
    </row>
    <row r="12" spans="1:14" x14ac:dyDescent="0.25">
      <c r="A12" s="164" t="s">
        <v>207</v>
      </c>
      <c r="B12" s="165">
        <v>50</v>
      </c>
      <c r="C12" s="165">
        <v>50</v>
      </c>
      <c r="D12" s="165">
        <v>50</v>
      </c>
      <c r="E12" s="165">
        <v>50</v>
      </c>
      <c r="F12" s="165">
        <v>50</v>
      </c>
      <c r="G12" s="165">
        <v>50</v>
      </c>
      <c r="H12" s="165">
        <v>50</v>
      </c>
      <c r="I12" s="165">
        <v>50</v>
      </c>
      <c r="J12" s="165">
        <v>50</v>
      </c>
      <c r="K12" s="165">
        <v>50</v>
      </c>
      <c r="L12" s="165">
        <v>50</v>
      </c>
      <c r="M12" s="165">
        <v>50</v>
      </c>
      <c r="N12" s="165">
        <f t="shared" si="1"/>
        <v>600</v>
      </c>
    </row>
    <row r="13" spans="1:14" x14ac:dyDescent="0.25">
      <c r="A13" s="164" t="s">
        <v>317</v>
      </c>
      <c r="B13" s="165">
        <v>50</v>
      </c>
      <c r="C13" s="165">
        <v>50</v>
      </c>
      <c r="D13" s="165">
        <v>50</v>
      </c>
      <c r="E13" s="165">
        <v>50</v>
      </c>
      <c r="F13" s="165">
        <v>50</v>
      </c>
      <c r="G13" s="165">
        <v>50</v>
      </c>
      <c r="H13" s="165">
        <v>50</v>
      </c>
      <c r="I13" s="165">
        <v>50</v>
      </c>
      <c r="J13" s="165">
        <v>50</v>
      </c>
      <c r="K13" s="165">
        <v>50</v>
      </c>
      <c r="L13" s="165">
        <v>50</v>
      </c>
      <c r="M13" s="165">
        <v>50</v>
      </c>
      <c r="N13" s="165">
        <f t="shared" si="1"/>
        <v>600</v>
      </c>
    </row>
    <row r="14" spans="1:14" x14ac:dyDescent="0.25">
      <c r="A14" s="164" t="s">
        <v>318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50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f t="shared" si="1"/>
        <v>50</v>
      </c>
    </row>
    <row r="15" spans="1:14" x14ac:dyDescent="0.25">
      <c r="A15" s="164" t="s">
        <v>362</v>
      </c>
      <c r="B15" s="165">
        <v>150</v>
      </c>
      <c r="C15" s="165">
        <v>150</v>
      </c>
      <c r="D15" s="165">
        <v>150</v>
      </c>
      <c r="E15" s="165">
        <v>150</v>
      </c>
      <c r="F15" s="165">
        <v>150</v>
      </c>
      <c r="G15" s="165">
        <v>150</v>
      </c>
      <c r="H15" s="165">
        <v>150</v>
      </c>
      <c r="I15" s="165">
        <v>150</v>
      </c>
      <c r="J15" s="165">
        <v>150</v>
      </c>
      <c r="K15" s="165">
        <v>150</v>
      </c>
      <c r="L15" s="165">
        <v>150</v>
      </c>
      <c r="M15" s="165">
        <v>150</v>
      </c>
      <c r="N15" s="165">
        <f t="shared" si="1"/>
        <v>1800</v>
      </c>
    </row>
    <row r="16" spans="1:14" x14ac:dyDescent="0.25">
      <c r="A16" s="164" t="s">
        <v>208</v>
      </c>
      <c r="B16" s="165">
        <v>15</v>
      </c>
      <c r="C16" s="165">
        <v>15</v>
      </c>
      <c r="D16" s="165">
        <v>15</v>
      </c>
      <c r="E16" s="165">
        <v>15</v>
      </c>
      <c r="F16" s="165">
        <v>15</v>
      </c>
      <c r="G16" s="165">
        <v>15</v>
      </c>
      <c r="H16" s="165">
        <v>15</v>
      </c>
      <c r="I16" s="165">
        <v>15</v>
      </c>
      <c r="J16" s="165">
        <v>15</v>
      </c>
      <c r="K16" s="165">
        <v>15</v>
      </c>
      <c r="L16" s="165">
        <v>15</v>
      </c>
      <c r="M16" s="165">
        <v>15</v>
      </c>
      <c r="N16" s="165">
        <f t="shared" si="1"/>
        <v>180</v>
      </c>
    </row>
    <row r="17" spans="1:14" x14ac:dyDescent="0.25">
      <c r="A17" s="193" t="s">
        <v>319</v>
      </c>
      <c r="B17" s="165">
        <v>20</v>
      </c>
      <c r="C17" s="165">
        <v>20</v>
      </c>
      <c r="D17" s="165">
        <v>20</v>
      </c>
      <c r="E17" s="165">
        <v>20</v>
      </c>
      <c r="F17" s="165">
        <v>20</v>
      </c>
      <c r="G17" s="165">
        <v>20</v>
      </c>
      <c r="H17" s="165">
        <v>20</v>
      </c>
      <c r="I17" s="165">
        <v>20</v>
      </c>
      <c r="J17" s="165">
        <v>20</v>
      </c>
      <c r="K17" s="165">
        <v>20</v>
      </c>
      <c r="L17" s="165">
        <v>20</v>
      </c>
      <c r="M17" s="165">
        <v>20</v>
      </c>
      <c r="N17" s="165">
        <f t="shared" si="1"/>
        <v>240</v>
      </c>
    </row>
    <row r="18" spans="1:14" x14ac:dyDescent="0.25">
      <c r="A18" s="164" t="s">
        <v>260</v>
      </c>
      <c r="B18" s="165">
        <v>10</v>
      </c>
      <c r="C18" s="165">
        <v>15</v>
      </c>
      <c r="D18" s="165">
        <v>15</v>
      </c>
      <c r="E18" s="165">
        <v>15</v>
      </c>
      <c r="F18" s="165">
        <v>15</v>
      </c>
      <c r="G18" s="165">
        <v>15</v>
      </c>
      <c r="H18" s="165">
        <v>15</v>
      </c>
      <c r="I18" s="165">
        <v>15</v>
      </c>
      <c r="J18" s="165">
        <v>15</v>
      </c>
      <c r="K18" s="165">
        <v>15</v>
      </c>
      <c r="L18" s="165">
        <v>15</v>
      </c>
      <c r="M18" s="165">
        <v>10</v>
      </c>
      <c r="N18" s="165">
        <f t="shared" si="1"/>
        <v>170</v>
      </c>
    </row>
    <row r="19" spans="1:14" x14ac:dyDescent="0.25">
      <c r="A19" s="164" t="s">
        <v>263</v>
      </c>
      <c r="B19" s="165">
        <v>71.98</v>
      </c>
      <c r="C19" s="165">
        <v>71.98</v>
      </c>
      <c r="D19" s="165">
        <v>71.98</v>
      </c>
      <c r="E19" s="165">
        <v>71.98</v>
      </c>
      <c r="F19" s="165">
        <v>71.98</v>
      </c>
      <c r="G19" s="165">
        <v>71.98</v>
      </c>
      <c r="H19" s="165">
        <v>71.98</v>
      </c>
      <c r="I19" s="165">
        <v>71.98</v>
      </c>
      <c r="J19" s="165">
        <v>71.98</v>
      </c>
      <c r="K19" s="165">
        <v>71.98</v>
      </c>
      <c r="L19" s="165">
        <v>71.98</v>
      </c>
      <c r="M19" s="165">
        <v>71.98</v>
      </c>
      <c r="N19" s="165">
        <f t="shared" si="1"/>
        <v>863.7600000000001</v>
      </c>
    </row>
    <row r="20" spans="1:14" x14ac:dyDescent="0.25">
      <c r="A20" s="193" t="s">
        <v>267</v>
      </c>
      <c r="B20" s="165">
        <v>1600</v>
      </c>
      <c r="C20" s="165">
        <v>1600</v>
      </c>
      <c r="D20" s="165">
        <v>2200</v>
      </c>
      <c r="E20" s="165">
        <v>1600</v>
      </c>
      <c r="F20" s="165">
        <v>1600</v>
      </c>
      <c r="G20" s="165">
        <v>2200</v>
      </c>
      <c r="H20" s="165">
        <v>1600</v>
      </c>
      <c r="I20" s="165">
        <v>1600</v>
      </c>
      <c r="J20" s="165">
        <v>2200</v>
      </c>
      <c r="K20" s="165">
        <v>1600</v>
      </c>
      <c r="L20" s="165">
        <v>1600</v>
      </c>
      <c r="M20" s="165">
        <v>2200</v>
      </c>
      <c r="N20" s="165">
        <f t="shared" si="1"/>
        <v>21600</v>
      </c>
    </row>
    <row r="21" spans="1:14" x14ac:dyDescent="0.25">
      <c r="A21" s="164" t="s">
        <v>268</v>
      </c>
      <c r="B21" s="165">
        <v>147.55000000000001</v>
      </c>
      <c r="C21" s="165">
        <v>147.55000000000001</v>
      </c>
      <c r="D21" s="165">
        <v>147.55000000000001</v>
      </c>
      <c r="E21" s="165">
        <v>147.55000000000001</v>
      </c>
      <c r="F21" s="165">
        <v>147.55000000000001</v>
      </c>
      <c r="G21" s="165">
        <v>147.55000000000001</v>
      </c>
      <c r="H21" s="165">
        <v>147.55000000000001</v>
      </c>
      <c r="I21" s="165">
        <v>147.55000000000001</v>
      </c>
      <c r="J21" s="165">
        <v>147.55000000000001</v>
      </c>
      <c r="K21" s="165">
        <v>147.55000000000001</v>
      </c>
      <c r="L21" s="165">
        <v>147.55000000000001</v>
      </c>
      <c r="M21" s="165">
        <v>147.55000000000001</v>
      </c>
      <c r="N21" s="165">
        <f t="shared" si="1"/>
        <v>1770.5999999999997</v>
      </c>
    </row>
    <row r="22" spans="1:14" x14ac:dyDescent="0.25">
      <c r="A22" s="166" t="s">
        <v>190</v>
      </c>
      <c r="B22" s="167">
        <f t="shared" ref="B22:M22" si="2">SUM(B11:B21)</f>
        <v>2124.5300000000002</v>
      </c>
      <c r="C22" s="167">
        <f t="shared" si="2"/>
        <v>2129.5300000000002</v>
      </c>
      <c r="D22" s="167">
        <f t="shared" si="2"/>
        <v>2729.53</v>
      </c>
      <c r="E22" s="167">
        <f t="shared" si="2"/>
        <v>2129.5300000000002</v>
      </c>
      <c r="F22" s="167">
        <f t="shared" si="2"/>
        <v>2129.5300000000002</v>
      </c>
      <c r="G22" s="167">
        <f t="shared" si="2"/>
        <v>2779.53</v>
      </c>
      <c r="H22" s="167">
        <f t="shared" si="2"/>
        <v>2129.5300000000002</v>
      </c>
      <c r="I22" s="167">
        <f t="shared" si="2"/>
        <v>2129.5300000000002</v>
      </c>
      <c r="J22" s="167">
        <f t="shared" si="2"/>
        <v>2729.53</v>
      </c>
      <c r="K22" s="167">
        <f t="shared" si="2"/>
        <v>2129.5300000000002</v>
      </c>
      <c r="L22" s="167">
        <f t="shared" si="2"/>
        <v>2129.5300000000002</v>
      </c>
      <c r="M22" s="167">
        <f t="shared" si="2"/>
        <v>2724.53</v>
      </c>
      <c r="N22" s="167">
        <f>SUM(N11:N21)</f>
        <v>27994.36</v>
      </c>
    </row>
    <row r="23" spans="1:14" x14ac:dyDescent="0.25">
      <c r="A23" s="163" t="s">
        <v>216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x14ac:dyDescent="0.25">
      <c r="A24" s="164" t="s">
        <v>217</v>
      </c>
      <c r="B24" s="165">
        <v>13542.712319163422</v>
      </c>
      <c r="C24" s="165">
        <v>14255.486651750971</v>
      </c>
      <c r="D24" s="165">
        <v>14968.26098433852</v>
      </c>
      <c r="E24" s="165">
        <v>15681.035316926069</v>
      </c>
      <c r="F24" s="165">
        <v>16393.809649513616</v>
      </c>
      <c r="G24" s="165">
        <v>14255.486651750971</v>
      </c>
      <c r="H24" s="165">
        <v>16393.809649513616</v>
      </c>
      <c r="I24" s="165">
        <v>15681.035316926069</v>
      </c>
      <c r="J24" s="165">
        <v>14968.26098433852</v>
      </c>
      <c r="K24" s="165">
        <v>16393.809649513616</v>
      </c>
      <c r="L24" s="165">
        <v>14968.26098433852</v>
      </c>
      <c r="M24" s="165">
        <v>18009.311916926068</v>
      </c>
      <c r="N24" s="165">
        <f t="shared" ref="N24:N29" si="3">SUM(B24:M24)</f>
        <v>185511.28007499999</v>
      </c>
    </row>
    <row r="25" spans="1:14" x14ac:dyDescent="0.25">
      <c r="A25" s="164" t="s">
        <v>218</v>
      </c>
      <c r="B25" s="165">
        <v>2396.9083238079306</v>
      </c>
      <c r="C25" s="165">
        <v>2523.0613934820321</v>
      </c>
      <c r="D25" s="165">
        <v>2649.2144631561337</v>
      </c>
      <c r="E25" s="165">
        <v>2775.3675328302352</v>
      </c>
      <c r="F25" s="165">
        <v>2901.5206025043371</v>
      </c>
      <c r="G25" s="165">
        <v>2523.0613934820321</v>
      </c>
      <c r="H25" s="165">
        <v>2901.5206025043371</v>
      </c>
      <c r="I25" s="165">
        <v>2775.3675328302352</v>
      </c>
      <c r="J25" s="165">
        <v>2649.2144631561337</v>
      </c>
      <c r="K25" s="165">
        <v>2901.5206025043371</v>
      </c>
      <c r="L25" s="165">
        <v>2649.2144631561337</v>
      </c>
      <c r="M25" s="165">
        <v>3159.533171830235</v>
      </c>
      <c r="N25" s="165">
        <f t="shared" si="3"/>
        <v>32805.504545244112</v>
      </c>
    </row>
    <row r="26" spans="1:14" x14ac:dyDescent="0.25">
      <c r="A26" s="164" t="s">
        <v>219</v>
      </c>
      <c r="B26" s="165">
        <v>143.50034925850406</v>
      </c>
      <c r="C26" s="165">
        <v>151.05299921947795</v>
      </c>
      <c r="D26" s="165">
        <v>158.60564918045185</v>
      </c>
      <c r="E26" s="165">
        <v>166.15829914142574</v>
      </c>
      <c r="F26" s="165">
        <v>173.71094910239964</v>
      </c>
      <c r="G26" s="165">
        <v>151.05299921947795</v>
      </c>
      <c r="H26" s="165">
        <v>173.71094910239964</v>
      </c>
      <c r="I26" s="165">
        <v>166.15829914142574</v>
      </c>
      <c r="J26" s="165">
        <v>158.60564918045185</v>
      </c>
      <c r="K26" s="165">
        <v>173.71094910239964</v>
      </c>
      <c r="L26" s="165">
        <v>158.60564918045185</v>
      </c>
      <c r="M26" s="165">
        <v>166.15829914142574</v>
      </c>
      <c r="N26" s="165">
        <f t="shared" si="3"/>
        <v>1941.0310399702912</v>
      </c>
    </row>
    <row r="27" spans="1:14" x14ac:dyDescent="0.25">
      <c r="A27" s="164" t="s">
        <v>220</v>
      </c>
      <c r="B27" s="165">
        <v>2381.5598948052848</v>
      </c>
      <c r="C27" s="165">
        <v>1288.4418892687206</v>
      </c>
      <c r="D27" s="165">
        <v>1352.8639837321566</v>
      </c>
      <c r="E27" s="165">
        <v>1417.2860781955926</v>
      </c>
      <c r="F27" s="165">
        <v>1481.7081726590286</v>
      </c>
      <c r="G27" s="165">
        <v>1288.4418892687206</v>
      </c>
      <c r="H27" s="165">
        <v>1481.7081726590286</v>
      </c>
      <c r="I27" s="165">
        <v>1417.2860781955926</v>
      </c>
      <c r="J27" s="165">
        <v>1352.8639837321566</v>
      </c>
      <c r="K27" s="165">
        <v>1481.7081726590286</v>
      </c>
      <c r="L27" s="165">
        <v>1352.8639837321566</v>
      </c>
      <c r="M27" s="165">
        <v>1417.2860781955926</v>
      </c>
      <c r="N27" s="165">
        <f t="shared" si="3"/>
        <v>17714.018377103064</v>
      </c>
    </row>
    <row r="28" spans="1:14" x14ac:dyDescent="0.25">
      <c r="A28" s="164" t="s">
        <v>221</v>
      </c>
      <c r="B28" s="165">
        <v>1051.4458079790857</v>
      </c>
      <c r="C28" s="165">
        <v>356.38716629377427</v>
      </c>
      <c r="D28" s="165">
        <v>374.20652460846298</v>
      </c>
      <c r="E28" s="165">
        <v>392.0258829231517</v>
      </c>
      <c r="F28" s="165">
        <v>409.84524123784041</v>
      </c>
      <c r="G28" s="165">
        <v>356.38716629377427</v>
      </c>
      <c r="H28" s="165">
        <v>409.84524123784041</v>
      </c>
      <c r="I28" s="165">
        <v>392.0258829231517</v>
      </c>
      <c r="J28" s="165">
        <v>374.20652460846298</v>
      </c>
      <c r="K28" s="165">
        <v>409.84524123784041</v>
      </c>
      <c r="L28" s="165">
        <v>374.20652460846298</v>
      </c>
      <c r="M28" s="165">
        <v>392.0258829231517</v>
      </c>
      <c r="N28" s="165">
        <f t="shared" si="3"/>
        <v>5292.4530868749989</v>
      </c>
    </row>
    <row r="29" spans="1:14" x14ac:dyDescent="0.25">
      <c r="A29" s="164" t="s">
        <v>233</v>
      </c>
      <c r="B29" s="165">
        <v>156.47624999999982</v>
      </c>
      <c r="C29" s="165">
        <v>126.67124999999999</v>
      </c>
      <c r="D29" s="165">
        <v>126.67124999999999</v>
      </c>
      <c r="E29" s="165">
        <v>126.67124999999999</v>
      </c>
      <c r="F29" s="165">
        <v>126.67124999999999</v>
      </c>
      <c r="G29" s="165">
        <v>126.67124999999999</v>
      </c>
      <c r="H29" s="165">
        <v>126.67124999999999</v>
      </c>
      <c r="I29" s="165">
        <v>126.67124999999999</v>
      </c>
      <c r="J29" s="165">
        <v>126.67124999999999</v>
      </c>
      <c r="K29" s="165">
        <v>126.67124999999999</v>
      </c>
      <c r="L29" s="165">
        <v>126.67124999999999</v>
      </c>
      <c r="M29" s="165">
        <v>126.67124999999999</v>
      </c>
      <c r="N29" s="165">
        <f t="shared" si="3"/>
        <v>1549.8599999999992</v>
      </c>
    </row>
    <row r="30" spans="1:14" x14ac:dyDescent="0.25">
      <c r="A30" s="166" t="s">
        <v>222</v>
      </c>
      <c r="B30" s="167">
        <f t="shared" ref="B30:N30" si="4">SUM(B24:B29)</f>
        <v>19672.602945014227</v>
      </c>
      <c r="C30" s="167">
        <f t="shared" si="4"/>
        <v>18701.101350014975</v>
      </c>
      <c r="D30" s="167">
        <f t="shared" si="4"/>
        <v>19629.822855015726</v>
      </c>
      <c r="E30" s="167">
        <f t="shared" si="4"/>
        <v>20558.544360016476</v>
      </c>
      <c r="F30" s="167">
        <f t="shared" si="4"/>
        <v>21487.26586501722</v>
      </c>
      <c r="G30" s="167">
        <f t="shared" si="4"/>
        <v>18701.101350014975</v>
      </c>
      <c r="H30" s="167">
        <f t="shared" si="4"/>
        <v>21487.26586501722</v>
      </c>
      <c r="I30" s="167">
        <f t="shared" si="4"/>
        <v>20558.544360016476</v>
      </c>
      <c r="J30" s="167">
        <f t="shared" si="4"/>
        <v>19629.822855015726</v>
      </c>
      <c r="K30" s="167">
        <f t="shared" si="4"/>
        <v>21487.26586501722</v>
      </c>
      <c r="L30" s="167">
        <f t="shared" si="4"/>
        <v>19629.822855015726</v>
      </c>
      <c r="M30" s="167">
        <f t="shared" si="4"/>
        <v>23270.986599016473</v>
      </c>
      <c r="N30" s="167">
        <f t="shared" si="4"/>
        <v>244814.14712419244</v>
      </c>
    </row>
    <row r="31" spans="1:14" x14ac:dyDescent="0.25">
      <c r="A31" s="168" t="s">
        <v>191</v>
      </c>
      <c r="B31" s="167">
        <f t="shared" ref="B31:N31" si="5">SUM(B22,B30)</f>
        <v>21797.132945014226</v>
      </c>
      <c r="C31" s="167">
        <f t="shared" si="5"/>
        <v>20830.631350014974</v>
      </c>
      <c r="D31" s="167">
        <f t="shared" si="5"/>
        <v>22359.352855015724</v>
      </c>
      <c r="E31" s="167">
        <f t="shared" si="5"/>
        <v>22688.074360016475</v>
      </c>
      <c r="F31" s="167">
        <f t="shared" si="5"/>
        <v>23616.795865017219</v>
      </c>
      <c r="G31" s="167">
        <f t="shared" si="5"/>
        <v>21480.631350014974</v>
      </c>
      <c r="H31" s="167">
        <f t="shared" si="5"/>
        <v>23616.795865017219</v>
      </c>
      <c r="I31" s="167">
        <f t="shared" si="5"/>
        <v>22688.074360016475</v>
      </c>
      <c r="J31" s="167">
        <f t="shared" si="5"/>
        <v>22359.352855015724</v>
      </c>
      <c r="K31" s="167">
        <f t="shared" si="5"/>
        <v>23616.795865017219</v>
      </c>
      <c r="L31" s="167">
        <f t="shared" si="5"/>
        <v>21759.352855015724</v>
      </c>
      <c r="M31" s="167">
        <f t="shared" si="5"/>
        <v>25995.516599016471</v>
      </c>
      <c r="N31" s="167">
        <f t="shared" si="5"/>
        <v>272808.50712419243</v>
      </c>
    </row>
    <row r="32" spans="1:14" x14ac:dyDescent="0.25">
      <c r="A32" s="159" t="s">
        <v>192</v>
      </c>
      <c r="B32" s="160">
        <f t="shared" ref="B32:N32" si="6">B8-B31</f>
        <v>-21797.132945014226</v>
      </c>
      <c r="C32" s="160">
        <f t="shared" si="6"/>
        <v>-20830.631350014974</v>
      </c>
      <c r="D32" s="160">
        <f t="shared" si="6"/>
        <v>-22359.352855015724</v>
      </c>
      <c r="E32" s="160">
        <f t="shared" si="6"/>
        <v>-22688.074360016475</v>
      </c>
      <c r="F32" s="160">
        <f t="shared" si="6"/>
        <v>-23616.795865017219</v>
      </c>
      <c r="G32" s="160">
        <f t="shared" si="6"/>
        <v>-21480.631350014974</v>
      </c>
      <c r="H32" s="160">
        <f t="shared" si="6"/>
        <v>-23616.795865017219</v>
      </c>
      <c r="I32" s="160">
        <f t="shared" si="6"/>
        <v>-22688.074360016475</v>
      </c>
      <c r="J32" s="160">
        <f t="shared" si="6"/>
        <v>-22359.352855015724</v>
      </c>
      <c r="K32" s="160">
        <f t="shared" si="6"/>
        <v>-23616.795865017219</v>
      </c>
      <c r="L32" s="160">
        <f t="shared" si="6"/>
        <v>-21759.352855015724</v>
      </c>
      <c r="M32" s="160">
        <f t="shared" si="6"/>
        <v>-25995.516599016471</v>
      </c>
      <c r="N32" s="160">
        <f t="shared" si="6"/>
        <v>-272808.50712419243</v>
      </c>
    </row>
    <row r="33" spans="1:14" x14ac:dyDescent="0.25">
      <c r="A33" s="159" t="s">
        <v>29</v>
      </c>
      <c r="B33" s="160">
        <f t="shared" ref="B33:N33" si="7">B32+0+0</f>
        <v>-21797.132945014226</v>
      </c>
      <c r="C33" s="160">
        <f t="shared" si="7"/>
        <v>-20830.631350014974</v>
      </c>
      <c r="D33" s="160">
        <f t="shared" si="7"/>
        <v>-22359.352855015724</v>
      </c>
      <c r="E33" s="160">
        <f t="shared" si="7"/>
        <v>-22688.074360016475</v>
      </c>
      <c r="F33" s="160">
        <f t="shared" si="7"/>
        <v>-23616.795865017219</v>
      </c>
      <c r="G33" s="160">
        <f t="shared" si="7"/>
        <v>-21480.631350014974</v>
      </c>
      <c r="H33" s="160">
        <f t="shared" si="7"/>
        <v>-23616.795865017219</v>
      </c>
      <c r="I33" s="160">
        <f t="shared" si="7"/>
        <v>-22688.074360016475</v>
      </c>
      <c r="J33" s="160">
        <f t="shared" si="7"/>
        <v>-22359.352855015724</v>
      </c>
      <c r="K33" s="160">
        <f t="shared" si="7"/>
        <v>-23616.795865017219</v>
      </c>
      <c r="L33" s="160">
        <f t="shared" si="7"/>
        <v>-21759.352855015724</v>
      </c>
      <c r="M33" s="160">
        <f t="shared" si="7"/>
        <v>-25995.516599016471</v>
      </c>
      <c r="N33" s="160">
        <f t="shared" si="7"/>
        <v>-272808.50712419243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35B794E002843A7812EC6B980A066" ma:contentTypeVersion="16" ma:contentTypeDescription="Create a new document." ma:contentTypeScope="" ma:versionID="bfbb129b5923d451322844eed9020f1e">
  <xsd:schema xmlns:xsd="http://www.w3.org/2001/XMLSchema" xmlns:xs="http://www.w3.org/2001/XMLSchema" xmlns:p="http://schemas.microsoft.com/office/2006/metadata/properties" xmlns:ns2="4c63c5f2-4d59-4b29-841b-5d1995d8304d" xmlns:ns3="17eaef1b-a9b2-49b7-a7a3-2e474e8d773a" targetNamespace="http://schemas.microsoft.com/office/2006/metadata/properties" ma:root="true" ma:fieldsID="d1fd47cf51ab1b001dab7b38d60466b0" ns2:_="" ns3:_="">
    <xsd:import namespace="4c63c5f2-4d59-4b29-841b-5d1995d8304d"/>
    <xsd:import namespace="17eaef1b-a9b2-49b7-a7a3-2e474e8d7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c5f2-4d59-4b29-841b-5d1995d83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e010136-0aea-498b-92e5-919101396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aef1b-a9b2-49b7-a7a3-2e474e8d77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99bfec4-946a-47e9-87a8-7a76a7e7548e}" ma:internalName="TaxCatchAll" ma:showField="CatchAllData" ma:web="17eaef1b-a9b2-49b7-a7a3-2e474e8d7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eaef1b-a9b2-49b7-a7a3-2e474e8d773a" xsi:nil="true"/>
    <lcf76f155ced4ddcb4097134ff3c332f xmlns="4c63c5f2-4d59-4b29-841b-5d1995d830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B6F6A7-8BE6-43C6-9F55-0B3129002A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46469-F3AC-403E-83BA-BDC9A4A1C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c5f2-4d59-4b29-841b-5d1995d8304d"/>
    <ds:schemaRef ds:uri="17eaef1b-a9b2-49b7-a7a3-2e474e8d7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C98A7A-19C4-4424-B535-D171B2ABEC75}">
  <ds:schemaRefs>
    <ds:schemaRef ds:uri="http://schemas.microsoft.com/office/2006/metadata/properties"/>
    <ds:schemaRef ds:uri="http://schemas.microsoft.com/office/2006/documentManagement/types"/>
    <ds:schemaRef ds:uri="4c63c5f2-4d59-4b29-841b-5d1995d8304d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7eaef1b-a9b2-49b7-a7a3-2e474e8d773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</vt:i4>
      </vt:variant>
    </vt:vector>
  </HeadingPairs>
  <TitlesOfParts>
    <vt:vector size="38" baseType="lpstr">
      <vt:lpstr>PL</vt:lpstr>
      <vt:lpstr>INV</vt:lpstr>
      <vt:lpstr>CS PROP</vt:lpstr>
      <vt:lpstr>CAT PROP</vt:lpstr>
      <vt:lpstr>TAV</vt:lpstr>
      <vt:lpstr>CAT OUT</vt:lpstr>
      <vt:lpstr>PRES</vt:lpstr>
      <vt:lpstr>GC</vt:lpstr>
      <vt:lpstr>PEL</vt:lpstr>
      <vt:lpstr>ENV</vt:lpstr>
      <vt:lpstr>PSA</vt:lpstr>
      <vt:lpstr>ISS</vt:lpstr>
      <vt:lpstr>ETHNO</vt:lpstr>
      <vt:lpstr>PRIDE</vt:lpstr>
      <vt:lpstr>WOMENS</vt:lpstr>
      <vt:lpstr>MASA</vt:lpstr>
      <vt:lpstr>WASAC</vt:lpstr>
      <vt:lpstr>ALBANY</vt:lpstr>
      <vt:lpstr>WELLBEING</vt:lpstr>
      <vt:lpstr>RSD</vt:lpstr>
      <vt:lpstr>ACCESS</vt:lpstr>
      <vt:lpstr>PAC</vt:lpstr>
      <vt:lpstr>SOC</vt:lpstr>
      <vt:lpstr>EDU</vt:lpstr>
      <vt:lpstr>SPORTS</vt:lpstr>
      <vt:lpstr>STU INNOV</vt:lpstr>
      <vt:lpstr>SA</vt:lpstr>
      <vt:lpstr>EVENTS</vt:lpstr>
      <vt:lpstr>GSC</vt:lpstr>
      <vt:lpstr>MKTG</vt:lpstr>
      <vt:lpstr>CREATIVE</vt:lpstr>
      <vt:lpstr>VOL</vt:lpstr>
      <vt:lpstr>ADMIN</vt:lpstr>
      <vt:lpstr>FINANCE</vt:lpstr>
      <vt:lpstr>IT</vt:lpstr>
      <vt:lpstr>'CAT OUT'!Print_Area</vt:lpstr>
      <vt:lpstr>PEL!Print_Area</vt:lpstr>
      <vt:lpstr>PL!Print_Area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India Creed 24</cp:lastModifiedBy>
  <cp:revision/>
  <cp:lastPrinted>2024-09-30T08:37:02Z</cp:lastPrinted>
  <dcterms:created xsi:type="dcterms:W3CDTF">2019-07-09T02:13:35Z</dcterms:created>
  <dcterms:modified xsi:type="dcterms:W3CDTF">2024-09-30T08:37:51Z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0x010100DF135B794E002843A7812EC6B980A066</vt:lpwstr>
  </property>
  <property fmtid="{D5CDD505-2E9C-101B-9397-08002B2CF9AE}" pid="3" name="MediaServiceImageTags">
    <vt:lpwstr/>
  </property>
</Properties>
</file>